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BaseContrat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BaseContratos!$A$1:$Z$54</definedName>
    <definedName name="_xlnm.Print_Area" localSheetId="0">BaseContratos!$A$1:$AW$54</definedName>
    <definedName name="FF">[3]VALIDAÇÃO!$A$2:$A$33</definedName>
    <definedName name="Imagem">INDIRECT("Imagens!$A"&amp;MATCH('[1]Painel Vigência'!$B$13,Lista,0))</definedName>
    <definedName name="Lista">[1]Imagens!$A$1:$A$2</definedName>
    <definedName name="_xlnm.Print_Titles" localSheetId="0">BaseContratos!$1:$1</definedName>
  </definedNames>
  <calcPr calcId="145621"/>
</workbook>
</file>

<file path=xl/calcChain.xml><?xml version="1.0" encoding="utf-8"?>
<calcChain xmlns="http://schemas.openxmlformats.org/spreadsheetml/2006/main">
  <c r="AO54" i="1" l="1"/>
  <c r="AN54" i="1"/>
  <c r="AE54" i="1"/>
  <c r="AI54" i="1" s="1"/>
  <c r="AD54" i="1"/>
  <c r="AC54" i="1"/>
  <c r="Z54" i="1"/>
  <c r="X54" i="1"/>
  <c r="Y54" i="1" s="1"/>
  <c r="Q54" i="1"/>
  <c r="AQ54" i="1" s="1"/>
  <c r="AS54" i="1" s="1"/>
  <c r="M54" i="1"/>
  <c r="AO53" i="1"/>
  <c r="AN53" i="1"/>
  <c r="AE53" i="1"/>
  <c r="AI53" i="1" s="1"/>
  <c r="AD53" i="1"/>
  <c r="AC53" i="1"/>
  <c r="X53" i="1"/>
  <c r="Z53" i="1" s="1"/>
  <c r="Q53" i="1"/>
  <c r="AQ53" i="1" s="1"/>
  <c r="AS53" i="1" s="1"/>
  <c r="M53" i="1"/>
  <c r="AN52" i="1"/>
  <c r="AE52" i="1"/>
  <c r="AI52" i="1" s="1"/>
  <c r="AD52" i="1"/>
  <c r="AC52" i="1"/>
  <c r="Z52" i="1"/>
  <c r="Y52" i="1"/>
  <c r="X52" i="1"/>
  <c r="Q52" i="1"/>
  <c r="AQ52" i="1" s="1"/>
  <c r="AS52" i="1" s="1"/>
  <c r="L52" i="1"/>
  <c r="M52" i="1" s="1"/>
  <c r="AQ51" i="1"/>
  <c r="AS51" i="1" s="1"/>
  <c r="AN51" i="1"/>
  <c r="AE51" i="1"/>
  <c r="AI51" i="1" s="1"/>
  <c r="AD51" i="1"/>
  <c r="AO51" i="1" s="1"/>
  <c r="AC51" i="1"/>
  <c r="Z51" i="1"/>
  <c r="X51" i="1"/>
  <c r="Y51" i="1" s="1"/>
  <c r="Q51" i="1"/>
  <c r="M51" i="1"/>
  <c r="AQ50" i="1"/>
  <c r="AS50" i="1" s="1"/>
  <c r="AN50" i="1"/>
  <c r="AE50" i="1"/>
  <c r="AI50" i="1" s="1"/>
  <c r="AD50" i="1"/>
  <c r="AC50" i="1"/>
  <c r="Z50" i="1"/>
  <c r="X50" i="1"/>
  <c r="Y50" i="1" s="1"/>
  <c r="Q50" i="1"/>
  <c r="L50" i="1"/>
  <c r="M50" i="1" s="1"/>
  <c r="AN49" i="1"/>
  <c r="AE49" i="1"/>
  <c r="AI49" i="1" s="1"/>
  <c r="AD49" i="1"/>
  <c r="AO49" i="1" s="1"/>
  <c r="AC49" i="1"/>
  <c r="Z49" i="1"/>
  <c r="Y49" i="1"/>
  <c r="X49" i="1"/>
  <c r="Q49" i="1"/>
  <c r="AQ49" i="1" s="1"/>
  <c r="AS49" i="1" s="1"/>
  <c r="M49" i="1"/>
  <c r="AN48" i="1"/>
  <c r="AE48" i="1"/>
  <c r="AD48" i="1"/>
  <c r="AC48" i="1"/>
  <c r="X48" i="1"/>
  <c r="Z48" i="1" s="1"/>
  <c r="Q48" i="1"/>
  <c r="AQ48" i="1" s="1"/>
  <c r="AS48" i="1" s="1"/>
  <c r="L48" i="1"/>
  <c r="M48" i="1" s="1"/>
  <c r="AS47" i="1"/>
  <c r="AO47" i="1"/>
  <c r="AN47" i="1"/>
  <c r="AI47" i="1"/>
  <c r="AH47" i="1"/>
  <c r="AG47" i="1"/>
  <c r="AF47" i="1"/>
  <c r="AE47" i="1"/>
  <c r="AD47" i="1"/>
  <c r="AC47" i="1"/>
  <c r="AB47" i="1"/>
  <c r="AA47" i="1"/>
  <c r="X47" i="1"/>
  <c r="Y47" i="1" s="1"/>
  <c r="Q47" i="1"/>
  <c r="AQ47" i="1" s="1"/>
  <c r="M47" i="1"/>
  <c r="L47" i="1"/>
  <c r="AN46" i="1"/>
  <c r="AI46" i="1"/>
  <c r="AG46" i="1"/>
  <c r="AE46" i="1"/>
  <c r="AD46" i="1"/>
  <c r="AC46" i="1"/>
  <c r="Z46" i="1"/>
  <c r="X46" i="1"/>
  <c r="Y46" i="1" s="1"/>
  <c r="Q46" i="1"/>
  <c r="AQ46" i="1" s="1"/>
  <c r="AS46" i="1" s="1"/>
  <c r="L46" i="1"/>
  <c r="M46" i="1" s="1"/>
  <c r="AS45" i="1"/>
  <c r="AO45" i="1"/>
  <c r="AN45" i="1"/>
  <c r="AI45" i="1"/>
  <c r="AH45" i="1"/>
  <c r="AG45" i="1"/>
  <c r="AF45" i="1"/>
  <c r="AE45" i="1"/>
  <c r="AD45" i="1"/>
  <c r="AC45" i="1"/>
  <c r="AB45" i="1"/>
  <c r="AA45" i="1"/>
  <c r="X45" i="1"/>
  <c r="Q45" i="1"/>
  <c r="AQ45" i="1" s="1"/>
  <c r="M45" i="1"/>
  <c r="L45" i="1"/>
  <c r="AO44" i="1"/>
  <c r="AN44" i="1"/>
  <c r="AE44" i="1"/>
  <c r="AI44" i="1" s="1"/>
  <c r="AD44" i="1"/>
  <c r="AC44" i="1"/>
  <c r="Y44" i="1"/>
  <c r="X44" i="1"/>
  <c r="Z44" i="1" s="1"/>
  <c r="Q44" i="1"/>
  <c r="AQ44" i="1" s="1"/>
  <c r="AS44" i="1" s="1"/>
  <c r="M44" i="1"/>
  <c r="AO43" i="1"/>
  <c r="AN43" i="1"/>
  <c r="AE43" i="1"/>
  <c r="AD43" i="1"/>
  <c r="AC43" i="1"/>
  <c r="X43" i="1"/>
  <c r="Y43" i="1" s="1"/>
  <c r="Q43" i="1"/>
  <c r="AQ43" i="1" s="1"/>
  <c r="AS43" i="1" s="1"/>
  <c r="M43" i="1"/>
  <c r="AN42" i="1"/>
  <c r="AE42" i="1"/>
  <c r="AI42" i="1" s="1"/>
  <c r="AD42" i="1"/>
  <c r="AC42" i="1"/>
  <c r="X42" i="1"/>
  <c r="Z42" i="1" s="1"/>
  <c r="Q42" i="1"/>
  <c r="AQ42" i="1" s="1"/>
  <c r="AS42" i="1" s="1"/>
  <c r="L42" i="1"/>
  <c r="M42" i="1" s="1"/>
  <c r="AQ41" i="1"/>
  <c r="AS41" i="1" s="1"/>
  <c r="AN41" i="1"/>
  <c r="AE41" i="1"/>
  <c r="AI41" i="1" s="1"/>
  <c r="AD41" i="1"/>
  <c r="AC41" i="1"/>
  <c r="Z41" i="1"/>
  <c r="X41" i="1"/>
  <c r="Y41" i="1" s="1"/>
  <c r="Q41" i="1"/>
  <c r="L41" i="1"/>
  <c r="M41" i="1" s="1"/>
  <c r="AN40" i="1"/>
  <c r="AE40" i="1"/>
  <c r="AD40" i="1"/>
  <c r="AO40" i="1" s="1"/>
  <c r="AC40" i="1"/>
  <c r="X40" i="1"/>
  <c r="Z40" i="1" s="1"/>
  <c r="Q40" i="1"/>
  <c r="AQ40" i="1" s="1"/>
  <c r="AS40" i="1" s="1"/>
  <c r="M40" i="1"/>
  <c r="AN39" i="1"/>
  <c r="AE39" i="1"/>
  <c r="AI39" i="1" s="1"/>
  <c r="AD39" i="1"/>
  <c r="AO39" i="1" s="1"/>
  <c r="AC39" i="1"/>
  <c r="X39" i="1"/>
  <c r="Z39" i="1" s="1"/>
  <c r="Q39" i="1"/>
  <c r="AQ39" i="1" s="1"/>
  <c r="AS39" i="1" s="1"/>
  <c r="L39" i="1"/>
  <c r="M39" i="1" s="1"/>
  <c r="AN38" i="1"/>
  <c r="AE38" i="1"/>
  <c r="AI38" i="1" s="1"/>
  <c r="AD38" i="1"/>
  <c r="AO38" i="1" s="1"/>
  <c r="AC38" i="1"/>
  <c r="X38" i="1"/>
  <c r="Y38" i="1" s="1"/>
  <c r="Q38" i="1"/>
  <c r="AQ38" i="1" s="1"/>
  <c r="AS38" i="1" s="1"/>
  <c r="M38" i="1"/>
  <c r="AN37" i="1"/>
  <c r="AG37" i="1"/>
  <c r="AE37" i="1"/>
  <c r="AI37" i="1" s="1"/>
  <c r="AD37" i="1"/>
  <c r="AO37" i="1" s="1"/>
  <c r="AC37" i="1"/>
  <c r="X37" i="1"/>
  <c r="Q37" i="1"/>
  <c r="AQ37" i="1" s="1"/>
  <c r="AS37" i="1" s="1"/>
  <c r="M37" i="1"/>
  <c r="AN36" i="1"/>
  <c r="AE36" i="1"/>
  <c r="AI36" i="1" s="1"/>
  <c r="AD36" i="1"/>
  <c r="AO36" i="1" s="1"/>
  <c r="AC36" i="1"/>
  <c r="X36" i="1"/>
  <c r="Q36" i="1"/>
  <c r="AQ36" i="1" s="1"/>
  <c r="AS36" i="1" s="1"/>
  <c r="M36" i="1"/>
  <c r="AN35" i="1"/>
  <c r="AE35" i="1"/>
  <c r="AI35" i="1" s="1"/>
  <c r="AD35" i="1"/>
  <c r="AO35" i="1" s="1"/>
  <c r="AC35" i="1"/>
  <c r="X35" i="1"/>
  <c r="Y35" i="1" s="1"/>
  <c r="Q35" i="1"/>
  <c r="AQ35" i="1" s="1"/>
  <c r="AS35" i="1" s="1"/>
  <c r="L35" i="1"/>
  <c r="M35" i="1" s="1"/>
  <c r="AN34" i="1"/>
  <c r="AE34" i="1"/>
  <c r="AD34" i="1"/>
  <c r="AC34" i="1"/>
  <c r="Y34" i="1"/>
  <c r="X34" i="1"/>
  <c r="Z34" i="1" s="1"/>
  <c r="Q34" i="1"/>
  <c r="AQ34" i="1" s="1"/>
  <c r="AS34" i="1" s="1"/>
  <c r="L34" i="1"/>
  <c r="M34" i="1" s="1"/>
  <c r="AQ33" i="1"/>
  <c r="AS33" i="1" s="1"/>
  <c r="AN33" i="1"/>
  <c r="AE33" i="1"/>
  <c r="AI33" i="1" s="1"/>
  <c r="AD33" i="1"/>
  <c r="AO33" i="1" s="1"/>
  <c r="AC33" i="1"/>
  <c r="Z33" i="1"/>
  <c r="X33" i="1"/>
  <c r="Y33" i="1" s="1"/>
  <c r="Q33" i="1"/>
  <c r="M33" i="1"/>
  <c r="AQ32" i="1"/>
  <c r="AS32" i="1" s="1"/>
  <c r="AN32" i="1"/>
  <c r="AE32" i="1"/>
  <c r="AI32" i="1" s="1"/>
  <c r="AD32" i="1"/>
  <c r="AO32" i="1" s="1"/>
  <c r="AC32" i="1"/>
  <c r="X32" i="1"/>
  <c r="Q32" i="1"/>
  <c r="M32" i="1"/>
  <c r="L32" i="1"/>
  <c r="AO31" i="1"/>
  <c r="AN31" i="1"/>
  <c r="AE31" i="1"/>
  <c r="AI31" i="1" s="1"/>
  <c r="AD31" i="1"/>
  <c r="AC31" i="1"/>
  <c r="Y31" i="1"/>
  <c r="X31" i="1"/>
  <c r="Z31" i="1" s="1"/>
  <c r="Q31" i="1"/>
  <c r="AQ31" i="1" s="1"/>
  <c r="AS31" i="1" s="1"/>
  <c r="M31" i="1"/>
  <c r="AN30" i="1"/>
  <c r="AE30" i="1"/>
  <c r="AI30" i="1" s="1"/>
  <c r="AD30" i="1"/>
  <c r="AO30" i="1" s="1"/>
  <c r="AC30" i="1"/>
  <c r="X30" i="1"/>
  <c r="Z30" i="1" s="1"/>
  <c r="Q30" i="1"/>
  <c r="AQ30" i="1" s="1"/>
  <c r="AS30" i="1" s="1"/>
  <c r="M30" i="1"/>
  <c r="AN29" i="1"/>
  <c r="AE29" i="1"/>
  <c r="AD29" i="1"/>
  <c r="AC29" i="1"/>
  <c r="Y29" i="1"/>
  <c r="X29" i="1"/>
  <c r="Z29" i="1" s="1"/>
  <c r="Q29" i="1"/>
  <c r="AQ29" i="1" s="1"/>
  <c r="AS29" i="1" s="1"/>
  <c r="L29" i="1"/>
  <c r="M29" i="1" s="1"/>
  <c r="AQ28" i="1"/>
  <c r="AS28" i="1" s="1"/>
  <c r="AN28" i="1"/>
  <c r="AE28" i="1"/>
  <c r="AI28" i="1" s="1"/>
  <c r="AD28" i="1"/>
  <c r="AC28" i="1"/>
  <c r="Z28" i="1"/>
  <c r="X28" i="1"/>
  <c r="Y28" i="1" s="1"/>
  <c r="Q28" i="1"/>
  <c r="L28" i="1"/>
  <c r="M28" i="1" s="1"/>
  <c r="AN27" i="1"/>
  <c r="AE27" i="1"/>
  <c r="AH27" i="1" s="1"/>
  <c r="AD27" i="1"/>
  <c r="AC27" i="1"/>
  <c r="Z27" i="1"/>
  <c r="Y27" i="1"/>
  <c r="X27" i="1"/>
  <c r="Q27" i="1"/>
  <c r="AQ27" i="1" s="1"/>
  <c r="AS27" i="1" s="1"/>
  <c r="L27" i="1"/>
  <c r="M27" i="1" s="1"/>
  <c r="AN26" i="1"/>
  <c r="AE26" i="1"/>
  <c r="AI26" i="1" s="1"/>
  <c r="AD26" i="1"/>
  <c r="AO26" i="1" s="1"/>
  <c r="AC26" i="1"/>
  <c r="X26" i="1"/>
  <c r="Y26" i="1" s="1"/>
  <c r="Q26" i="1"/>
  <c r="AQ26" i="1" s="1"/>
  <c r="AS26" i="1" s="1"/>
  <c r="M26" i="1"/>
  <c r="L26" i="1"/>
  <c r="AS25" i="1"/>
  <c r="AO25" i="1"/>
  <c r="AN25" i="1"/>
  <c r="AI25" i="1"/>
  <c r="AH25" i="1"/>
  <c r="AG25" i="1"/>
  <c r="AF25" i="1"/>
  <c r="AE25" i="1"/>
  <c r="AD25" i="1"/>
  <c r="AC25" i="1"/>
  <c r="AB25" i="1"/>
  <c r="AA25" i="1"/>
  <c r="X25" i="1"/>
  <c r="Z25" i="1" s="1"/>
  <c r="Q25" i="1"/>
  <c r="AQ25" i="1" s="1"/>
  <c r="M25" i="1"/>
  <c r="AS24" i="1"/>
  <c r="AO24" i="1"/>
  <c r="AN24" i="1"/>
  <c r="AI24" i="1"/>
  <c r="AH24" i="1"/>
  <c r="AG24" i="1"/>
  <c r="AF24" i="1"/>
  <c r="AE24" i="1"/>
  <c r="AD24" i="1"/>
  <c r="AC24" i="1"/>
  <c r="AB24" i="1"/>
  <c r="AA24" i="1"/>
  <c r="X24" i="1"/>
  <c r="Z24" i="1" s="1"/>
  <c r="Q24" i="1"/>
  <c r="AQ24" i="1" s="1"/>
  <c r="L24" i="1"/>
  <c r="M24" i="1" s="1"/>
  <c r="AS23" i="1"/>
  <c r="AQ23" i="1"/>
  <c r="AO23" i="1"/>
  <c r="AN23" i="1"/>
  <c r="AI23" i="1"/>
  <c r="AH23" i="1"/>
  <c r="AG23" i="1"/>
  <c r="AF23" i="1"/>
  <c r="AE23" i="1"/>
  <c r="AD23" i="1"/>
  <c r="AC23" i="1"/>
  <c r="AB23" i="1"/>
  <c r="AA23" i="1"/>
  <c r="Z23" i="1"/>
  <c r="X23" i="1"/>
  <c r="Y23" i="1" s="1"/>
  <c r="Q23" i="1"/>
  <c r="L23" i="1"/>
  <c r="M23" i="1" s="1"/>
  <c r="AO22" i="1"/>
  <c r="AN22" i="1"/>
  <c r="AE22" i="1"/>
  <c r="AG22" i="1" s="1"/>
  <c r="AD22" i="1"/>
  <c r="AC22" i="1"/>
  <c r="X22" i="1"/>
  <c r="Q22" i="1"/>
  <c r="AQ22" i="1" s="1"/>
  <c r="AS22" i="1" s="1"/>
  <c r="M22" i="1"/>
  <c r="AN21" i="1"/>
  <c r="AE21" i="1"/>
  <c r="AH21" i="1" s="1"/>
  <c r="AD21" i="1"/>
  <c r="AO21" i="1" s="1"/>
  <c r="AC21" i="1"/>
  <c r="X21" i="1"/>
  <c r="Z21" i="1" s="1"/>
  <c r="Q21" i="1"/>
  <c r="AQ21" i="1" s="1"/>
  <c r="AS21" i="1" s="1"/>
  <c r="L21" i="1"/>
  <c r="M21" i="1" s="1"/>
  <c r="AQ20" i="1"/>
  <c r="AS20" i="1" s="1"/>
  <c r="AN20" i="1"/>
  <c r="AE20" i="1"/>
  <c r="AI20" i="1" s="1"/>
  <c r="AD20" i="1"/>
  <c r="AO20" i="1" s="1"/>
  <c r="AC20" i="1"/>
  <c r="X20" i="1"/>
  <c r="Y20" i="1" s="1"/>
  <c r="Q20" i="1"/>
  <c r="M20" i="1"/>
  <c r="AQ19" i="1"/>
  <c r="AS19" i="1" s="1"/>
  <c r="AN19" i="1"/>
  <c r="AE19" i="1"/>
  <c r="AG19" i="1" s="1"/>
  <c r="AD19" i="1"/>
  <c r="AO19" i="1" s="1"/>
  <c r="AC19" i="1"/>
  <c r="X19" i="1"/>
  <c r="Y19" i="1" s="1"/>
  <c r="Q19" i="1"/>
  <c r="M19" i="1"/>
  <c r="AN18" i="1"/>
  <c r="AH18" i="1"/>
  <c r="AE18" i="1"/>
  <c r="AI18" i="1" s="1"/>
  <c r="AD18" i="1"/>
  <c r="AO18" i="1" s="1"/>
  <c r="AC18" i="1"/>
  <c r="X18" i="1"/>
  <c r="Y18" i="1" s="1"/>
  <c r="Q18" i="1"/>
  <c r="AQ18" i="1" s="1"/>
  <c r="AS18" i="1" s="1"/>
  <c r="M18" i="1"/>
  <c r="AN17" i="1"/>
  <c r="AE17" i="1"/>
  <c r="AG17" i="1" s="1"/>
  <c r="AD17" i="1"/>
  <c r="AO17" i="1" s="1"/>
  <c r="AC17" i="1"/>
  <c r="X17" i="1"/>
  <c r="Y17" i="1" s="1"/>
  <c r="Q17" i="1"/>
  <c r="AQ17" i="1" s="1"/>
  <c r="AS17" i="1" s="1"/>
  <c r="M17" i="1"/>
  <c r="AN16" i="1"/>
  <c r="AE16" i="1"/>
  <c r="AI16" i="1" s="1"/>
  <c r="AD16" i="1"/>
  <c r="AO16" i="1" s="1"/>
  <c r="AC16" i="1"/>
  <c r="X16" i="1"/>
  <c r="Y16" i="1" s="1"/>
  <c r="Q16" i="1"/>
  <c r="AQ16" i="1" s="1"/>
  <c r="AS16" i="1" s="1"/>
  <c r="M16" i="1"/>
  <c r="AN15" i="1"/>
  <c r="AE15" i="1"/>
  <c r="AG15" i="1" s="1"/>
  <c r="AD15" i="1"/>
  <c r="AO15" i="1" s="1"/>
  <c r="AC15" i="1"/>
  <c r="X15" i="1"/>
  <c r="Y15" i="1" s="1"/>
  <c r="Q15" i="1"/>
  <c r="AQ15" i="1" s="1"/>
  <c r="AS15" i="1" s="1"/>
  <c r="M15" i="1"/>
  <c r="AN14" i="1"/>
  <c r="AH14" i="1"/>
  <c r="AE14" i="1"/>
  <c r="AI14" i="1" s="1"/>
  <c r="AD14" i="1"/>
  <c r="AC14" i="1"/>
  <c r="Z14" i="1"/>
  <c r="X14" i="1"/>
  <c r="Y14" i="1" s="1"/>
  <c r="Q14" i="1"/>
  <c r="AQ14" i="1" s="1"/>
  <c r="AS14" i="1" s="1"/>
  <c r="L14" i="1"/>
  <c r="M14" i="1" s="1"/>
  <c r="AN13" i="1"/>
  <c r="AE13" i="1"/>
  <c r="AI13" i="1" s="1"/>
  <c r="AD13" i="1"/>
  <c r="AO13" i="1" s="1"/>
  <c r="AC13" i="1"/>
  <c r="X13" i="1"/>
  <c r="Z13" i="1" s="1"/>
  <c r="Q13" i="1"/>
  <c r="AQ13" i="1" s="1"/>
  <c r="AS13" i="1" s="1"/>
  <c r="M13" i="1"/>
  <c r="AN12" i="1"/>
  <c r="AE12" i="1"/>
  <c r="AG12" i="1" s="1"/>
  <c r="AD12" i="1"/>
  <c r="AC12" i="1"/>
  <c r="X12" i="1"/>
  <c r="Z12" i="1" s="1"/>
  <c r="Q12" i="1"/>
  <c r="AQ12" i="1" s="1"/>
  <c r="AS12" i="1" s="1"/>
  <c r="L12" i="1"/>
  <c r="M12" i="1" s="1"/>
  <c r="AQ11" i="1"/>
  <c r="AS11" i="1" s="1"/>
  <c r="AN11" i="1"/>
  <c r="AE11" i="1"/>
  <c r="AI11" i="1" s="1"/>
  <c r="AD11" i="1"/>
  <c r="AO11" i="1" s="1"/>
  <c r="AC11" i="1"/>
  <c r="X11" i="1"/>
  <c r="Y11" i="1" s="1"/>
  <c r="Q11" i="1"/>
  <c r="M11" i="1"/>
  <c r="AN10" i="1"/>
  <c r="AI10" i="1"/>
  <c r="AE10" i="1"/>
  <c r="AD10" i="1"/>
  <c r="AO10" i="1" s="1"/>
  <c r="AC10" i="1"/>
  <c r="Y10" i="1"/>
  <c r="X10" i="1"/>
  <c r="Z10" i="1" s="1"/>
  <c r="Q10" i="1"/>
  <c r="AQ10" i="1" s="1"/>
  <c r="AS10" i="1" s="1"/>
  <c r="L10" i="1"/>
  <c r="M10" i="1" s="1"/>
  <c r="AN9" i="1"/>
  <c r="AH9" i="1"/>
  <c r="AF9" i="1"/>
  <c r="AE9" i="1"/>
  <c r="AG9" i="1" s="1"/>
  <c r="AD9" i="1"/>
  <c r="AC9" i="1"/>
  <c r="AB9" i="1"/>
  <c r="Z9" i="1"/>
  <c r="X9" i="1"/>
  <c r="Y9" i="1" s="1"/>
  <c r="Q9" i="1"/>
  <c r="AQ9" i="1" s="1"/>
  <c r="AS9" i="1" s="1"/>
  <c r="M9" i="1"/>
  <c r="L9" i="1"/>
  <c r="AS8" i="1"/>
  <c r="AQ8" i="1"/>
  <c r="AO8" i="1"/>
  <c r="AN8" i="1"/>
  <c r="AI8" i="1"/>
  <c r="AH8" i="1"/>
  <c r="AG8" i="1"/>
  <c r="AF8" i="1"/>
  <c r="AE8" i="1"/>
  <c r="AD8" i="1"/>
  <c r="AC8" i="1"/>
  <c r="AB8" i="1"/>
  <c r="AA8" i="1"/>
  <c r="X8" i="1"/>
  <c r="Y8" i="1" s="1"/>
  <c r="Q8" i="1"/>
  <c r="M8" i="1"/>
  <c r="AS7" i="1"/>
  <c r="AO7" i="1"/>
  <c r="AN7" i="1"/>
  <c r="AI7" i="1"/>
  <c r="AH7" i="1"/>
  <c r="AG7" i="1"/>
  <c r="AF7" i="1"/>
  <c r="AE7" i="1"/>
  <c r="AD7" i="1"/>
  <c r="AC7" i="1"/>
  <c r="AB7" i="1"/>
  <c r="AA7" i="1"/>
  <c r="X7" i="1"/>
  <c r="Z7" i="1" s="1"/>
  <c r="Q7" i="1"/>
  <c r="AQ7" i="1" s="1"/>
  <c r="M7" i="1"/>
  <c r="AO6" i="1"/>
  <c r="AN6" i="1"/>
  <c r="AE6" i="1"/>
  <c r="AD6" i="1"/>
  <c r="AC6" i="1"/>
  <c r="Z6" i="1"/>
  <c r="Y6" i="1"/>
  <c r="X6" i="1"/>
  <c r="Q6" i="1"/>
  <c r="AQ6" i="1" s="1"/>
  <c r="AS6" i="1" s="1"/>
  <c r="M6" i="1"/>
  <c r="AN5" i="1"/>
  <c r="AE5" i="1"/>
  <c r="AI5" i="1" s="1"/>
  <c r="AD5" i="1"/>
  <c r="AO5" i="1" s="1"/>
  <c r="AC5" i="1"/>
  <c r="X5" i="1"/>
  <c r="Z5" i="1" s="1"/>
  <c r="Q5" i="1"/>
  <c r="AQ5" i="1" s="1"/>
  <c r="AS5" i="1" s="1"/>
  <c r="M5" i="1"/>
  <c r="AO4" i="1"/>
  <c r="AN4" i="1"/>
  <c r="AE4" i="1"/>
  <c r="AG4" i="1" s="1"/>
  <c r="AD4" i="1"/>
  <c r="AC4" i="1"/>
  <c r="Z4" i="1"/>
  <c r="Y4" i="1"/>
  <c r="X4" i="1"/>
  <c r="Q4" i="1"/>
  <c r="AQ4" i="1" s="1"/>
  <c r="AS4" i="1" s="1"/>
  <c r="M4" i="1"/>
  <c r="AN3" i="1"/>
  <c r="AE3" i="1"/>
  <c r="AI3" i="1" s="1"/>
  <c r="AD3" i="1"/>
  <c r="AC3" i="1"/>
  <c r="X3" i="1"/>
  <c r="Z3" i="1" s="1"/>
  <c r="Q3" i="1"/>
  <c r="AQ3" i="1" s="1"/>
  <c r="AS3" i="1" s="1"/>
  <c r="L3" i="1"/>
  <c r="M3" i="1" s="1"/>
  <c r="AS2" i="1"/>
  <c r="AQ2" i="1"/>
  <c r="AO2" i="1"/>
  <c r="AN2" i="1"/>
  <c r="AI2" i="1"/>
  <c r="AH2" i="1"/>
  <c r="AG2" i="1"/>
  <c r="AF2" i="1"/>
  <c r="AE2" i="1"/>
  <c r="AD2" i="1"/>
  <c r="AC2" i="1"/>
  <c r="AB2" i="1"/>
  <c r="AA2" i="1"/>
  <c r="X2" i="1"/>
  <c r="Y2" i="1" s="1"/>
  <c r="Q2" i="1"/>
  <c r="L2" i="1"/>
  <c r="M2" i="1" s="1"/>
  <c r="AO48" i="1" l="1"/>
  <c r="Z2" i="1"/>
  <c r="Y5" i="1"/>
  <c r="Y7" i="1"/>
  <c r="AO29" i="1"/>
  <c r="Y30" i="1"/>
  <c r="AB33" i="1"/>
  <c r="AF33" i="1"/>
  <c r="AO34" i="1"/>
  <c r="Y40" i="1"/>
  <c r="Y42" i="1"/>
  <c r="AF50" i="1"/>
  <c r="AB51" i="1"/>
  <c r="Y53" i="1"/>
  <c r="Z18" i="1"/>
  <c r="AO27" i="1"/>
  <c r="AO28" i="1"/>
  <c r="AB37" i="1"/>
  <c r="AF37" i="1"/>
  <c r="AA37" i="1" s="1"/>
  <c r="Y39" i="1"/>
  <c r="Z43" i="1"/>
  <c r="Y48" i="1"/>
  <c r="AO50" i="1"/>
  <c r="Z8" i="1"/>
  <c r="Y12" i="1"/>
  <c r="Y21" i="1"/>
  <c r="Y24" i="1"/>
  <c r="AB28" i="1"/>
  <c r="AF28" i="1"/>
  <c r="AB50" i="1"/>
  <c r="AF51" i="1"/>
  <c r="Y3" i="1"/>
  <c r="AO9" i="1"/>
  <c r="Y13" i="1"/>
  <c r="AO14" i="1"/>
  <c r="Z17" i="1"/>
  <c r="Y25" i="1"/>
  <c r="AH28" i="1"/>
  <c r="AH32" i="1"/>
  <c r="AH33" i="1"/>
  <c r="Z35" i="1"/>
  <c r="Z38" i="1"/>
  <c r="AO41" i="1"/>
  <c r="AO42" i="1"/>
  <c r="AH50" i="1"/>
  <c r="AG51" i="1"/>
  <c r="AB11" i="1"/>
  <c r="AF11" i="1"/>
  <c r="AF20" i="1"/>
  <c r="AB26" i="1"/>
  <c r="AF26" i="1"/>
  <c r="AA26" i="1" s="1"/>
  <c r="AF35" i="1"/>
  <c r="AF36" i="1"/>
  <c r="AB38" i="1"/>
  <c r="AF38" i="1"/>
  <c r="AH11" i="1"/>
  <c r="AG14" i="1"/>
  <c r="AH15" i="1"/>
  <c r="AH16" i="1"/>
  <c r="AH17" i="1"/>
  <c r="AG18" i="1"/>
  <c r="AH19" i="1"/>
  <c r="AH20" i="1"/>
  <c r="AH26" i="1"/>
  <c r="AG32" i="1"/>
  <c r="AH35" i="1"/>
  <c r="AH41" i="1"/>
  <c r="AH54" i="1"/>
  <c r="AG3" i="1"/>
  <c r="AB16" i="1"/>
  <c r="AF16" i="1"/>
  <c r="AB20" i="1"/>
  <c r="AB35" i="1"/>
  <c r="AB36" i="1"/>
  <c r="AG44" i="1"/>
  <c r="AG11" i="1"/>
  <c r="AB14" i="1"/>
  <c r="AF14" i="1"/>
  <c r="AB15" i="1"/>
  <c r="AF15" i="1"/>
  <c r="AG16" i="1"/>
  <c r="AB17" i="1"/>
  <c r="AF17" i="1"/>
  <c r="AA17" i="1" s="1"/>
  <c r="AB18" i="1"/>
  <c r="AF18" i="1"/>
  <c r="AA18" i="1" s="1"/>
  <c r="AB19" i="1"/>
  <c r="AF19" i="1"/>
  <c r="AA19" i="1" s="1"/>
  <c r="AG20" i="1"/>
  <c r="AG26" i="1"/>
  <c r="AG31" i="1"/>
  <c r="AB32" i="1"/>
  <c r="AF32" i="1"/>
  <c r="AG35" i="1"/>
  <c r="AH36" i="1"/>
  <c r="AH37" i="1"/>
  <c r="AH38" i="1"/>
  <c r="AB41" i="1"/>
  <c r="AF41" i="1"/>
  <c r="AH51" i="1"/>
  <c r="AG54" i="1"/>
  <c r="AF6" i="1"/>
  <c r="AB6" i="1"/>
  <c r="AH6" i="1"/>
  <c r="AF29" i="1"/>
  <c r="AB29" i="1"/>
  <c r="AH29" i="1"/>
  <c r="AG29" i="1"/>
  <c r="AH40" i="1"/>
  <c r="AF40" i="1"/>
  <c r="AB40" i="1"/>
  <c r="AG40" i="1"/>
  <c r="AF4" i="1"/>
  <c r="AB4" i="1"/>
  <c r="AH4" i="1"/>
  <c r="AG6" i="1"/>
  <c r="AF12" i="1"/>
  <c r="AB12" i="1"/>
  <c r="AH12" i="1"/>
  <c r="AO12" i="1"/>
  <c r="Z15" i="1"/>
  <c r="Z16" i="1"/>
  <c r="AF21" i="1"/>
  <c r="AG21" i="1"/>
  <c r="AB21" i="1"/>
  <c r="AI21" i="1"/>
  <c r="AF27" i="1"/>
  <c r="AB27" i="1"/>
  <c r="AI27" i="1"/>
  <c r="AG27" i="1"/>
  <c r="AA27" i="1"/>
  <c r="AI29" i="1"/>
  <c r="Y37" i="1"/>
  <c r="Z37" i="1"/>
  <c r="AF39" i="1"/>
  <c r="AB39" i="1"/>
  <c r="AH39" i="1"/>
  <c r="AG39" i="1"/>
  <c r="AI40" i="1"/>
  <c r="AH5" i="1"/>
  <c r="AF5" i="1"/>
  <c r="AB5" i="1"/>
  <c r="AI6" i="1"/>
  <c r="AH10" i="1"/>
  <c r="AF10" i="1"/>
  <c r="AB10" i="1"/>
  <c r="AH13" i="1"/>
  <c r="AF13" i="1"/>
  <c r="AB13" i="1"/>
  <c r="Y32" i="1"/>
  <c r="Z32" i="1"/>
  <c r="AF34" i="1"/>
  <c r="AB34" i="1"/>
  <c r="AH34" i="1"/>
  <c r="AG34" i="1"/>
  <c r="Y36" i="1"/>
  <c r="Z36" i="1"/>
  <c r="AH43" i="1"/>
  <c r="AF43" i="1"/>
  <c r="AA43" i="1" s="1"/>
  <c r="AB43" i="1"/>
  <c r="AG43" i="1"/>
  <c r="Y45" i="1"/>
  <c r="Z45" i="1"/>
  <c r="AH3" i="1"/>
  <c r="AF3" i="1"/>
  <c r="AB3" i="1"/>
  <c r="AO3" i="1"/>
  <c r="AI4" i="1"/>
  <c r="AG5" i="1"/>
  <c r="AA9" i="1"/>
  <c r="AA10" i="1"/>
  <c r="AG10" i="1"/>
  <c r="Z11" i="1"/>
  <c r="AI12" i="1"/>
  <c r="AA13" i="1"/>
  <c r="AG13" i="1"/>
  <c r="Z19" i="1"/>
  <c r="Z20" i="1"/>
  <c r="Z22" i="1"/>
  <c r="Y22" i="1"/>
  <c r="AH22" i="1"/>
  <c r="AF22" i="1"/>
  <c r="AB22" i="1"/>
  <c r="AI22" i="1"/>
  <c r="Z26" i="1"/>
  <c r="AH30" i="1"/>
  <c r="AF30" i="1"/>
  <c r="AB30" i="1"/>
  <c r="AG30" i="1"/>
  <c r="AI34" i="1"/>
  <c r="AF42" i="1"/>
  <c r="AB42" i="1"/>
  <c r="AH42" i="1"/>
  <c r="AG42" i="1"/>
  <c r="AI43" i="1"/>
  <c r="AF48" i="1"/>
  <c r="AB48" i="1"/>
  <c r="AH48" i="1"/>
  <c r="AA48" i="1" s="1"/>
  <c r="AI48" i="1"/>
  <c r="AG48" i="1"/>
  <c r="AI9" i="1"/>
  <c r="AI15" i="1"/>
  <c r="AI17" i="1"/>
  <c r="AI19" i="1"/>
  <c r="AA35" i="1"/>
  <c r="AF44" i="1"/>
  <c r="AB44" i="1"/>
  <c r="AH44" i="1"/>
  <c r="AH46" i="1"/>
  <c r="AF46" i="1"/>
  <c r="AB46" i="1"/>
  <c r="AO46" i="1"/>
  <c r="AA51" i="1"/>
  <c r="AH49" i="1"/>
  <c r="AF49" i="1"/>
  <c r="AB49" i="1"/>
  <c r="AH52" i="1"/>
  <c r="AA52" i="1" s="1"/>
  <c r="AF52" i="1"/>
  <c r="AB52" i="1"/>
  <c r="AO52" i="1"/>
  <c r="AF31" i="1"/>
  <c r="AA31" i="1" s="1"/>
  <c r="AB31" i="1"/>
  <c r="AH31" i="1"/>
  <c r="Z47" i="1"/>
  <c r="AG49" i="1"/>
  <c r="AG52" i="1"/>
  <c r="AG53" i="1"/>
  <c r="AF53" i="1"/>
  <c r="AA53" i="1" s="1"/>
  <c r="AB53" i="1"/>
  <c r="AH53" i="1"/>
  <c r="AG28" i="1"/>
  <c r="AA28" i="1" s="1"/>
  <c r="AG33" i="1"/>
  <c r="AA33" i="1" s="1"/>
  <c r="AG36" i="1"/>
  <c r="AG38" i="1"/>
  <c r="AG41" i="1"/>
  <c r="AG50" i="1"/>
  <c r="AA50" i="1" s="1"/>
  <c r="AB54" i="1"/>
  <c r="AF54" i="1"/>
  <c r="AA54" i="1" s="1"/>
  <c r="AA38" i="1" l="1"/>
  <c r="AA39" i="1"/>
  <c r="AA4" i="1"/>
  <c r="AA15" i="1"/>
  <c r="AA41" i="1"/>
  <c r="AA40" i="1"/>
  <c r="AA32" i="1"/>
  <c r="AA36" i="1"/>
  <c r="AA20" i="1"/>
  <c r="AA42" i="1"/>
  <c r="AA30" i="1"/>
  <c r="AA5" i="1"/>
  <c r="AA34" i="1"/>
  <c r="AA6" i="1"/>
  <c r="AA16" i="1"/>
  <c r="AA49" i="1"/>
  <c r="AA46" i="1"/>
  <c r="AA44" i="1"/>
  <c r="AA29" i="1"/>
  <c r="AA14" i="1"/>
  <c r="AA11" i="1"/>
  <c r="AA22" i="1"/>
  <c r="AA3" i="1"/>
  <c r="AA12" i="1"/>
  <c r="AA21" i="1"/>
</calcChain>
</file>

<file path=xl/comments1.xml><?xml version="1.0" encoding="utf-8"?>
<comments xmlns="http://schemas.openxmlformats.org/spreadsheetml/2006/main">
  <authors>
    <author>Gardenia Freire</author>
    <author>Andre7</author>
  </authors>
  <commentList>
    <comment ref="R1" authorId="0">
      <text>
        <r>
          <rPr>
            <b/>
            <sz val="9"/>
            <color indexed="81"/>
            <rFont val="Tahoma"/>
            <family val="2"/>
          </rPr>
          <t>Gardenia Freire:</t>
        </r>
        <r>
          <rPr>
            <sz val="9"/>
            <color indexed="81"/>
            <rFont val="Tahoma"/>
            <family val="2"/>
          </rPr>
          <t xml:space="preserve">
 Verificar Cláusula de Vigência ( Inciso I ao IV do ART 57, DA Lei nº 8666/93)</t>
        </r>
      </text>
    </comment>
    <comment ref="AL1" authorId="0">
      <text>
        <r>
          <rPr>
            <b/>
            <sz val="9"/>
            <color indexed="81"/>
            <rFont val="Tahoma"/>
            <family val="2"/>
          </rPr>
          <t>Gardenia Freire:</t>
        </r>
        <r>
          <rPr>
            <sz val="9"/>
            <color indexed="81"/>
            <rFont val="Tahoma"/>
            <family val="2"/>
          </rPr>
          <t xml:space="preserve">
Localizado na Cláusula do Reajuste
</t>
        </r>
      </text>
    </comment>
    <comment ref="AN25" authorId="1">
      <text>
        <r>
          <rPr>
            <b/>
            <sz val="9"/>
            <color indexed="81"/>
            <rFont val="Tahoma"/>
            <family val="2"/>
          </rPr>
          <t>Andre7:</t>
        </r>
        <r>
          <rPr>
            <sz val="9"/>
            <color indexed="81"/>
            <rFont val="Tahoma"/>
            <family val="2"/>
          </rPr>
          <t xml:space="preserve">
Alterado para Junho, conforme Parecer GCONT 320/2015.</t>
        </r>
      </text>
    </comment>
  </commentList>
</comments>
</file>

<file path=xl/sharedStrings.xml><?xml version="1.0" encoding="utf-8"?>
<sst xmlns="http://schemas.openxmlformats.org/spreadsheetml/2006/main" count="963" uniqueCount="444">
  <si>
    <t>INSTRUMENTO</t>
  </si>
  <si>
    <t>ANO DO CONTRATO</t>
  </si>
  <si>
    <t>CNPJ / CPF</t>
  </si>
  <si>
    <t>CREDOR</t>
  </si>
  <si>
    <t>OBJETO RESUMIDO</t>
  </si>
  <si>
    <t>Envolve Mão de Obra?</t>
  </si>
  <si>
    <t>GESTOR (SETOR)</t>
  </si>
  <si>
    <t>NOME DO GESTOR</t>
  </si>
  <si>
    <t>CPF ou MATRÍCULA</t>
  </si>
  <si>
    <t>FISCAL</t>
  </si>
  <si>
    <t>CPF ou MATRÍCULA2</t>
  </si>
  <si>
    <t>VALOR MENSAL</t>
  </si>
  <si>
    <t>VALOR ANUAL</t>
  </si>
  <si>
    <t>INICIO DA VIGÊNCIA</t>
  </si>
  <si>
    <t>FIM DA VIGÊNICA</t>
  </si>
  <si>
    <t>ENCERRADO</t>
  </si>
  <si>
    <t>TOTAL DE MESES</t>
  </si>
  <si>
    <t>LIMITE DE MESES</t>
  </si>
  <si>
    <t>ÚLTIMO TERMO ADITIVO</t>
  </si>
  <si>
    <t>CUSTO</t>
  </si>
  <si>
    <t>PROCESSO</t>
  </si>
  <si>
    <t>SIGEPE</t>
  </si>
  <si>
    <t>ITEM</t>
  </si>
  <si>
    <t>TEMA DE CUSTO</t>
  </si>
  <si>
    <t>CÓD. AÇÃO</t>
  </si>
  <si>
    <t>CÓD. SUBAÇÃO</t>
  </si>
  <si>
    <t>VENCIMENTO</t>
  </si>
  <si>
    <t>SITUAÇÃO</t>
  </si>
  <si>
    <t>MÊS DE VENCIMENTO</t>
  </si>
  <si>
    <t>ANO DE VENCIMENTO</t>
  </si>
  <si>
    <t>DIF DIAS</t>
  </si>
  <si>
    <t>ABS</t>
  </si>
  <si>
    <t>TXT DIA</t>
  </si>
  <si>
    <t>TXT FALTA</t>
  </si>
  <si>
    <t>FAIXA</t>
  </si>
  <si>
    <t>Cód Fonte de Recursos</t>
  </si>
  <si>
    <t>CL</t>
  </si>
  <si>
    <t>Índice de Reajuste</t>
  </si>
  <si>
    <t>Data da Proposta</t>
  </si>
  <si>
    <t>Período de Reajuste</t>
  </si>
  <si>
    <t>Montante do exercício (até a vigência)</t>
  </si>
  <si>
    <t>Entra no Relatório de Contratos?</t>
  </si>
  <si>
    <t>Saldo Prorrogação</t>
  </si>
  <si>
    <t xml:space="preserve">Observação </t>
  </si>
  <si>
    <t>Análise Prorrogação</t>
  </si>
  <si>
    <t>Observação</t>
  </si>
  <si>
    <t>Ficha Financeira</t>
  </si>
  <si>
    <t>Status</t>
  </si>
  <si>
    <t>Colunas1</t>
  </si>
  <si>
    <t>Contrato 004/2010</t>
  </si>
  <si>
    <t>64.799.539/0004-88</t>
  </si>
  <si>
    <t>TECNOSET - Informática Produtos e Serviços Ltda.</t>
  </si>
  <si>
    <t>Serviços especializados de Impressão departamental centralizada, Impressora monocromática (23); Impressora Colorida (06)</t>
  </si>
  <si>
    <t>Não</t>
  </si>
  <si>
    <t>Unidade de Logística e TI</t>
  </si>
  <si>
    <t>João / Eliomar</t>
  </si>
  <si>
    <t>Sem designação</t>
  </si>
  <si>
    <t>***</t>
  </si>
  <si>
    <t>Sim</t>
  </si>
  <si>
    <t>1º TA Alteração vigencia; 2º TA acrescimo 25%, mais (06) impressoras monocromatica e (06) impressoras coloridas, 3º TA Prorrogação, 4º TA Prorrogação, 5º TA Prorrogação, 6º ta Prorrogação, 7º TA Prorrogação</t>
  </si>
  <si>
    <t>FIXO</t>
  </si>
  <si>
    <t>007/2009</t>
  </si>
  <si>
    <t>0101</t>
  </si>
  <si>
    <t>Contrato do Legado</t>
  </si>
  <si>
    <t>Contrato ultrapassou periodo estabelecido em Lei</t>
  </si>
  <si>
    <t>Contrato 018/2011</t>
  </si>
  <si>
    <t>38.029.534/0001-13</t>
  </si>
  <si>
    <t>OMNI Comércio e Serviços Ltda</t>
  </si>
  <si>
    <t>Locação de Recursos de tecnologia da informação 80 Microcomputador</t>
  </si>
  <si>
    <t>4º TA</t>
  </si>
  <si>
    <t>040/2010</t>
  </si>
  <si>
    <t>0241</t>
  </si>
  <si>
    <t>CI Nº 010/2017 UCO-ULG Solicitando abertura Certame Pendente. TR autorizada pela ATI, aguardando abertura Certme</t>
  </si>
  <si>
    <t>Contrato 001.2012.754.EMPETUR.001</t>
  </si>
  <si>
    <t>33.000.118/0001-79</t>
  </si>
  <si>
    <t>Consorcio Rede PE-CONECTADO PP</t>
  </si>
  <si>
    <t>Serviços técnicos especializados de implantação, operacionalização, treinamento e manutenção de solução integrada de telemática</t>
  </si>
  <si>
    <t>TA 01/04/2014, 01/01/2014 a 16/09/2016</t>
  </si>
  <si>
    <t>VARIÁVEL</t>
  </si>
  <si>
    <t>066.2010.CEL.II.PP.010.SAD</t>
  </si>
  <si>
    <t>Falta Adendo</t>
  </si>
  <si>
    <t>Contrato 174/2012</t>
  </si>
  <si>
    <t>04.765.911/0001-60</t>
  </si>
  <si>
    <t>Frederico Costa Pinto Correa - ADVOGADOS</t>
  </si>
  <si>
    <t>Contratação de pessoa juridica, Escritorio Especializado na prestação de serviços profissionais de advocacia no ramo do Direiro Trabalhista</t>
  </si>
  <si>
    <t>Diretoria Juridica - DJU</t>
  </si>
  <si>
    <t>Marcelo</t>
  </si>
  <si>
    <t>8º TA Prorrogação</t>
  </si>
  <si>
    <t>119/2012</t>
  </si>
  <si>
    <t>3º Termo de Apostilamento R$ 27.000,00, Empenho 2017NE000114, 02/01/2017</t>
  </si>
  <si>
    <t>CI 012/2017 UCO-DJU Alertando do Prazo e Solicitando Providencias quanto a Abertura Novo Certame</t>
  </si>
  <si>
    <t>Contrato 291/2012</t>
  </si>
  <si>
    <t>12.785.572/0001-02</t>
  </si>
  <si>
    <t>FRIOMAQ Refrigeração Ltda. - EPP</t>
  </si>
  <si>
    <t>Prestação de Serviços de manutenção preventiva e corretiva em sistema de ar condicionado</t>
  </si>
  <si>
    <t>Diretoria de Operação - DOP</t>
  </si>
  <si>
    <t>Ciro</t>
  </si>
  <si>
    <t>5º TA Prorrogação</t>
  </si>
  <si>
    <t>Processo Licitatorio Nº 221/2012 Pregao Presencial nº 003/2012</t>
  </si>
  <si>
    <t>5001012015001823</t>
  </si>
  <si>
    <t>6º Termo Apostilamento R$ 1.354.954,50, Empenho 2017NE0002017, 02/01/2017</t>
  </si>
  <si>
    <t>CI Nº 015/2017 UCO-DOP Solicitando abertura de um novo Certame licitatorio, Contrato não pode ser renovado.</t>
  </si>
  <si>
    <t>Contrato 153/2012</t>
  </si>
  <si>
    <t>01.459.413/0001-00</t>
  </si>
  <si>
    <t>ELUS - Engenharia, Limpeza Urbana e Sinalização Ltda</t>
  </si>
  <si>
    <t>Prestação de Serviços de coleta e remoção de residuos sólidos comuns e perigosos, incluindo fornecimento de todos equipamentos, utensilios e insumos nas instalaçoes prediais do Centro de Convenções e Parque Arcoverde</t>
  </si>
  <si>
    <t>****</t>
  </si>
  <si>
    <t>Não Houve</t>
  </si>
  <si>
    <t>Processo 090/2012 Pregao 005/2012</t>
  </si>
  <si>
    <t>5001012015000018</t>
  </si>
  <si>
    <t>-</t>
  </si>
  <si>
    <t>Convênio 014/2012</t>
  </si>
  <si>
    <t>08.642.138/0001-04</t>
  </si>
  <si>
    <t>Aproveitamento de sentenciados da Secretaria de Desenvolvimento Social e Direitos Humanos - SEDSDH</t>
  </si>
  <si>
    <t>Aproveitamento de sentenciados da Secretaria de Desenvolvimento Social e Direitos Humanos - SEDSDH, que se encontram em regime aberto e livramento condicional, para execução de tarefas de serviços gerais, motorista, jardineiro, apoio administrativo e outras atividades</t>
  </si>
  <si>
    <t>Unidade de Gestão de Pessoas</t>
  </si>
  <si>
    <t>Tatiana Teixeira</t>
  </si>
  <si>
    <t>Com Designaçao</t>
  </si>
  <si>
    <t>1º TA Prorrogação 02/08/2014 a 02/08/2016</t>
  </si>
  <si>
    <t>5001012016001742</t>
  </si>
  <si>
    <t>Solicitar a Area Gestora a Prorrogação Contrato</t>
  </si>
  <si>
    <t>Pendende</t>
  </si>
  <si>
    <t>Contrato 339/2013</t>
  </si>
  <si>
    <t>04.101.136/0001-49</t>
  </si>
  <si>
    <t>CMTECH Comércio e Serviços de Informática Ltda</t>
  </si>
  <si>
    <t>1º TA Prorrogação 02/09/2016 a 02/09/2017, Art.57, IV Lei 8.666/93</t>
  </si>
  <si>
    <t>018/2012</t>
  </si>
  <si>
    <t>A renovação anual vinha sendo realizado por meio de apostilamentos, uma vez que o contrato foi limitado ao prazo de 36 meses. 4º Termo de Apostilamento R$ 69.328,80, Empenho 2017NE000015, 02/01/2017</t>
  </si>
  <si>
    <t>CI 007/2017 UCO-ULG alertando da Impossibilidade de renovação e solicitando providencias quanto a Abertura de um Novo Certame. TR autorizada pela ATI</t>
  </si>
  <si>
    <t>Contrato 400/2013</t>
  </si>
  <si>
    <t>04.032.156/0001-05</t>
  </si>
  <si>
    <t>INFOPARTNER - Informática &amp; Negócios Ltda.</t>
  </si>
  <si>
    <t>Locação de Recursos de tecnologia da informação 30 Notebook</t>
  </si>
  <si>
    <t>1º TA Prorrogação 03/09/2016 a 03/09/2017, Art.57, IV Lei 8.666/93</t>
  </si>
  <si>
    <t>A renovação anual vinha sendo realizado por meio de apostilamentos, uma vez que o contrato foi limitado ao prazo de 36 meses. 5º Termo de Apostilamento R$ 30.979,20 Empenho 2017NE000016, 02/01/2017</t>
  </si>
  <si>
    <t>CI 008/2017 UCO-ULG alertando da Impossibilidade de renovação e solicitando providencias para abertura certame Licitatorio. TR autorizada pela ATI</t>
  </si>
  <si>
    <t>Contrato 435/2013</t>
  </si>
  <si>
    <t>13.258.693/0001-69</t>
  </si>
  <si>
    <t>5R Serviços e Eventos Ltda. - EPP</t>
  </si>
  <si>
    <t>Prestação de serviços de limpeza e conservação Predial</t>
  </si>
  <si>
    <t>9º TA Prorrogação e Reajuste</t>
  </si>
  <si>
    <t>Processo 441/2013 Pregão Eletronico 052/2013</t>
  </si>
  <si>
    <t>5001012015000063</t>
  </si>
  <si>
    <t>IPCA</t>
  </si>
  <si>
    <t>1º Termo Apostilamento R$ 1.038.954,14, Empenho 2017NE000145, 02/01/2017</t>
  </si>
  <si>
    <t>Contrato 439/2014</t>
  </si>
  <si>
    <t>06.997.469/0001-23</t>
  </si>
  <si>
    <t>LOCARALPI Aluguel de Veículos Ltda. - EPP</t>
  </si>
  <si>
    <t>Prestação dos Serviços de locação de veículos (03) Veiculo, Tipo Station Wagon</t>
  </si>
  <si>
    <t>Eliomar</t>
  </si>
  <si>
    <t>2º TA Prorrogação 01/07/2015 a 01/07/2017</t>
  </si>
  <si>
    <t>076.2012.II.PE.050.SAD</t>
  </si>
  <si>
    <t>5001012016001869</t>
  </si>
  <si>
    <t>3º Apostilamento R$ 27.729,00, Empenho 2017NE000134, 02/01/2017</t>
  </si>
  <si>
    <t xml:space="preserve">CI 011/2017 UCO-ULG Solicitando Providencias para a possibilidade de adesao a outra Ata ou Abertura de um novo Certame, uma vez que foi firmado Aditivo sem a devida autorização da SAD em cumprimento ao Decreto, ou seja, Processo não submetido a SAD. </t>
  </si>
  <si>
    <t>Contrato 639/2014</t>
  </si>
  <si>
    <t>41.034.513/0001-09</t>
  </si>
  <si>
    <t>Baker Tilly Recife - Auditores Independentes S/S</t>
  </si>
  <si>
    <t>Prestação de Serviços de Contabilidade</t>
  </si>
  <si>
    <t>Unidade de Orcamento e Financas</t>
  </si>
  <si>
    <t>Gilvan</t>
  </si>
  <si>
    <t>2º TA Prorrogação</t>
  </si>
  <si>
    <t>745/2014</t>
  </si>
  <si>
    <t>2414092-4/2014</t>
  </si>
  <si>
    <t>5001012015000653</t>
  </si>
  <si>
    <t>Aguardando aditivo ao termo de adesão (Trâmite na SAD)</t>
  </si>
  <si>
    <t>Contrato 641/2014</t>
  </si>
  <si>
    <t>07.639.645/0001-18</t>
  </si>
  <si>
    <t>Capibaribe Viagens Turismo e Locadora Ltda-ME</t>
  </si>
  <si>
    <t>Locação Eventual de transporte receptivo, com  motorista e combustível tipo onibus executivos</t>
  </si>
  <si>
    <t>3º TA Prorrogação - 6 Meses, sem autorização da SAD</t>
  </si>
  <si>
    <t>Processo 314.2013.III.PE.195.SEE</t>
  </si>
  <si>
    <t>Por Demanda</t>
  </si>
  <si>
    <t>Por deliberação da DAF, em despacho na CI Nº 016/2017 -UCO, o contrato será continuado até seu venct.</t>
  </si>
  <si>
    <t>CI Nº 016/2017 UCO-DAF pedindo avaliar a continuidade do contrato, uma vez que o 3º TA não foi autorizado pela SAD</t>
  </si>
  <si>
    <t>Contrato 642/2014</t>
  </si>
  <si>
    <t>05.465.222/0001-01</t>
  </si>
  <si>
    <t>RM Terceirização Ltda.</t>
  </si>
  <si>
    <t>CAT'S Centro de Atendimento ao Turista</t>
  </si>
  <si>
    <t>Unidade de Informações Turisticas e CADASTUR</t>
  </si>
  <si>
    <t>Fernanda Navarro</t>
  </si>
  <si>
    <t>3º Termo Aditivo de Prorrogação</t>
  </si>
  <si>
    <t>Processo Licitatorio 737/2014 Pregao Eletronico 030/2014</t>
  </si>
  <si>
    <t>Contrato 001/SAD/SEADM/2014</t>
  </si>
  <si>
    <t>42.194.191/0001-10</t>
  </si>
  <si>
    <t>Nutricash Serviços Ltda</t>
  </si>
  <si>
    <t>Fornecimento de combustiveis</t>
  </si>
  <si>
    <t>3º TA Prorrogação</t>
  </si>
  <si>
    <t>095.2013.VI.PP.022.SAD</t>
  </si>
  <si>
    <t>Termo de Apostilamento R$ 78.880,50, Empenho 2017NE000039, 02/01/2017</t>
  </si>
  <si>
    <t>Contrato 067/2015</t>
  </si>
  <si>
    <t>10.998.292/0001-57</t>
  </si>
  <si>
    <t>Centro de Integração Empresa Escola de Pernambuco - CIEE</t>
  </si>
  <si>
    <t>Serviços de operacionalização do Programa (17) Bolsa-Estágio para EMPETUR</t>
  </si>
  <si>
    <t>4º TA Prorrogação</t>
  </si>
  <si>
    <t>101.2014.VII.PE.064.SAD</t>
  </si>
  <si>
    <t>5001012015000051</t>
  </si>
  <si>
    <t>3º Termo Apostilamento R$ 75.694,20  Empenho 2017NE000063 02/01/2017</t>
  </si>
  <si>
    <t xml:space="preserve">Pleiteado Repactuação Vale transporte </t>
  </si>
  <si>
    <t>Contrato 206/2015</t>
  </si>
  <si>
    <t>10.517.497/0001-73</t>
  </si>
  <si>
    <t>Apollo Comercio e Locações Ltda. - ME</t>
  </si>
  <si>
    <t>Prestação de Serviços de coleta e entrega de processos e documentos, mediante utilização de motocicletas com condutores habilitados</t>
  </si>
  <si>
    <t>229/2015</t>
  </si>
  <si>
    <t>Convenção + IPCA</t>
  </si>
  <si>
    <t>Apostilamento R$ 17.464,80, NE 2017NE000033, 02/01/2017</t>
  </si>
  <si>
    <t>CI Nº 017 UCO-DAF levantamento da analise contrato, pedindo ajustar Prazo e Formalizar o TA de reajuste validado pela DJU.</t>
  </si>
  <si>
    <t>Pasta organizada por ordem cronologica</t>
  </si>
  <si>
    <t>Contrato 341/2015</t>
  </si>
  <si>
    <t>63.554.067/0001-98</t>
  </si>
  <si>
    <t>Hapvida Assistencia Medica Ltda</t>
  </si>
  <si>
    <t>Assistencia Odontologica</t>
  </si>
  <si>
    <t>Contrato 390/2015</t>
  </si>
  <si>
    <t>11.836.848/0001-71</t>
  </si>
  <si>
    <t>DIBASA Comércio e Serviços Técnicos Ltda - EPP</t>
  </si>
  <si>
    <t>Prestação de Serviços de manutenção preventiva e corretiva dos elevadores de passageiros e plataforma de acessibilidade da EMPETUR S/A</t>
  </si>
  <si>
    <t>1º TA - Prorrogação</t>
  </si>
  <si>
    <t>Processo 320/2015 Pregao 004/2015</t>
  </si>
  <si>
    <t>5001012016000669</t>
  </si>
  <si>
    <t>2º Termo de Apostilamento R$ 55.238,33 Empenho 2017NE000127 02/01/2017</t>
  </si>
  <si>
    <t>Contrato 409/2015</t>
  </si>
  <si>
    <t>03.150.973/0001-03</t>
  </si>
  <si>
    <t>SANIDAD Ambiental Ltda.</t>
  </si>
  <si>
    <t xml:space="preserve">Serviços especializados em controle de pragas urbanas </t>
  </si>
  <si>
    <t>1º TA prorrogação</t>
  </si>
  <si>
    <t>460/2015</t>
  </si>
  <si>
    <t>5001012015001916</t>
  </si>
  <si>
    <t>Não foi identificado o Gestor no Contrato,  2º Termo de Apostilamento R$  3.600,00 Empenho 2017NE000129, 02/01/2017</t>
  </si>
  <si>
    <t>Contrato 429/2015</t>
  </si>
  <si>
    <t>07.147.056/0001-12</t>
  </si>
  <si>
    <t>SANEAPE - Soluções Ambientais Eirelli - EPP</t>
  </si>
  <si>
    <t>Serviços de Remoção de residuos sólidos, nas instalações da EMPETUR</t>
  </si>
  <si>
    <t>2º TA - Reajuste 1º TA - Prorrogação</t>
  </si>
  <si>
    <t>Processo 413/2015 Pregao 005/2015</t>
  </si>
  <si>
    <t>3º Termo Apostilamento R$ 363.425,10  Empenho 2017NE000126 02/01/2017</t>
  </si>
  <si>
    <t>Contrato 465/2015</t>
  </si>
  <si>
    <t>10.650.059/0001-89</t>
  </si>
  <si>
    <t>Lojas do Pintor</t>
  </si>
  <si>
    <t xml:space="preserve">Fornecimento Parcelado de Materiais de construção civis necessarios a execução dos serviços da EMPETUR, Centro de Convenções, Parque Memorial Arcoverde </t>
  </si>
  <si>
    <t>Processo 560/2015 Pregao 014/2015</t>
  </si>
  <si>
    <t>5001012015000017</t>
  </si>
  <si>
    <t>1º Termo de Apostilamento R$ 53.058,03 Empenho 2016NE001701 R$ 566,50 Empenho 2016NE001700, 18/10/2016</t>
  </si>
  <si>
    <t>Contrato 001/2016</t>
  </si>
  <si>
    <t>11.126.361/0001-03</t>
  </si>
  <si>
    <t>2G Turismo &amp; Eventos Ltda</t>
  </si>
  <si>
    <t>Serviços de Receptivo, com apresentações artísticas</t>
  </si>
  <si>
    <t>Diretoria de Estruturação do Turismo - DET</t>
  </si>
  <si>
    <t>Antonio</t>
  </si>
  <si>
    <t>159.2015.V.PE.086.EMPETUR</t>
  </si>
  <si>
    <t>5001012016001612</t>
  </si>
  <si>
    <t>Contrato 003/2016</t>
  </si>
  <si>
    <t>01.859.823/0001-30</t>
  </si>
  <si>
    <t>MASGOVI Comercio Atacadista Ltda.</t>
  </si>
  <si>
    <t>Aquisição de café superior torrado Lote 1</t>
  </si>
  <si>
    <t>221.2015.IX.PE.126.SAD</t>
  </si>
  <si>
    <t>5001012015000010</t>
  </si>
  <si>
    <t>1º Termo Apostilamento R$ 2.318,00, Empenho 2017NE000109, 27/01/2017</t>
  </si>
  <si>
    <t>Encontra-se tramitando um novo pedido de adesão na SAD para o objeto. O contrato em questão não será mais renovado, informado pelo Gestor.</t>
  </si>
  <si>
    <t>Contrato 341/2016</t>
  </si>
  <si>
    <t>34.028.316/0021-57</t>
  </si>
  <si>
    <t>Empresa Brasileira de Correios e Telegrafos</t>
  </si>
  <si>
    <t>Serviços e venda de produtos</t>
  </si>
  <si>
    <t>2º TA Prorrogação 11/05/2013 a 11/05/2014</t>
  </si>
  <si>
    <t>Falta Parecer Inexigibilidade</t>
  </si>
  <si>
    <t>5001012015000022</t>
  </si>
  <si>
    <t>Não foi identificado Parecer de Inexigibilidade nos autos do Processo, foi elaborado 6º Ato de Apostilamento R$ 12.500,00 Empenho 2017NE000032, 02/01/2017</t>
  </si>
  <si>
    <t>Colehndo assinaturas do TA de Prorrogação</t>
  </si>
  <si>
    <t>09.064.453/0001-56</t>
  </si>
  <si>
    <t>Travelers Seguros Brasil S/A</t>
  </si>
  <si>
    <t xml:space="preserve">Prestação de Serviço de Seguro Predial, com franquia, visando a cobertura de danos elétricos, incedios , etc no Centro de Convenções de Pernambuco </t>
  </si>
  <si>
    <t>1º TA Prorrogação</t>
  </si>
  <si>
    <t>603/2015</t>
  </si>
  <si>
    <t>5001012015000621</t>
  </si>
  <si>
    <t>Falta Apolice Atualizada</t>
  </si>
  <si>
    <t>Contrato 423/2016</t>
  </si>
  <si>
    <t>03.304.610/0001-77</t>
  </si>
  <si>
    <t>RADIONET LTDA. - EPP</t>
  </si>
  <si>
    <t>Locação de 32 equipamentos de radiocomunicação</t>
  </si>
  <si>
    <t>356/2016</t>
  </si>
  <si>
    <t>2400956-8/2016</t>
  </si>
  <si>
    <t>5001012016000285</t>
  </si>
  <si>
    <t>Termo de Apostilamento R$ 12.945,60, Empenho 2017NE000128, 02/01/2017</t>
  </si>
  <si>
    <t>CI 014/2017 UCO-DAF  Encaminhando pleito da Area Gestora para prorrogação por meio da CI 035/2017-DOP, em 30/03/2017.</t>
  </si>
  <si>
    <t>Contrato 430/2016</t>
  </si>
  <si>
    <t>02.535.864/0001-33</t>
  </si>
  <si>
    <t>VR Beneficios e Serviços de Processamento Ltda.</t>
  </si>
  <si>
    <t xml:space="preserve">Fornecimento e administração de cartões eletronicos equipados com chip de segurança de alimentação e/ou refeição, dentro do Programa de Alimentação do Trabalhador - PAT/ MTE </t>
  </si>
  <si>
    <t>126.2016.II.PE.091.EMPETUR</t>
  </si>
  <si>
    <t>5001012015000052</t>
  </si>
  <si>
    <t>1º Termo de Apostilamento R$ 1.009.079,12 Empenho 2017NE000036, 02/01/2017</t>
  </si>
  <si>
    <t>CI Nº 006/2017 UCO-UGP Solicitando providencias quanto o encaminhamento a SAD para a devida Prorrogação.</t>
  </si>
  <si>
    <t>Contrato 569/2016</t>
  </si>
  <si>
    <t>13.343.833/0001-05</t>
  </si>
  <si>
    <t>Alforge Segurança Patrimonial Ltda</t>
  </si>
  <si>
    <t>Serviço de Vigilância Armada</t>
  </si>
  <si>
    <t>072.2016.VI.PE.049.EMPETUR</t>
  </si>
  <si>
    <t>5001012015000007</t>
  </si>
  <si>
    <t>Não foi identificado detalhamento do objeto no Contrato, assim como Gestor 1º Termo Apostilamento R$ 639.957,78 Empenho 2017NE000125, 02/01/2017</t>
  </si>
  <si>
    <t>Encaminhado a SAD pedido de Reajuste e Prorrogação</t>
  </si>
  <si>
    <t>Contrato 578/2016</t>
  </si>
  <si>
    <t>70.064.316/0001-22</t>
  </si>
  <si>
    <t>ARPSIST Serviços de Engenharia Ltda</t>
  </si>
  <si>
    <t>Serviços de locação de recursos de tecnologia da informação (equipamentos, softwares, pessoal, assistencia tecnica in loco 8x5)</t>
  </si>
  <si>
    <t>241</t>
  </si>
  <si>
    <t>5001012015000011</t>
  </si>
  <si>
    <t>1º Termo de Apostilamento R$ 11.655,00 Empenho 2017NE000014, 02/01/2017</t>
  </si>
  <si>
    <t>Contrato 585/2016</t>
  </si>
  <si>
    <t>09.488.250/0001-97</t>
  </si>
  <si>
    <t>RH Instalação e Manutenção Elétrica Ltda. - ME</t>
  </si>
  <si>
    <t>Serviços de manutenção Preventiva, corretiva de equipamentos eletromecânicos de subestação elétrica, com análise fisico/quimico e cromatografia do oleo mineral isolante dos transformadores do Centro de Convenções</t>
  </si>
  <si>
    <t>Processo 630/2016 Pregao 006/2016</t>
  </si>
  <si>
    <t>5001012015000009</t>
  </si>
  <si>
    <t>Contrato 001/2017</t>
  </si>
  <si>
    <t>13.478.440/0001-09</t>
  </si>
  <si>
    <t>Rosineide Galvão Bezerra - ME</t>
  </si>
  <si>
    <t>Gestao, publicidade, comercialização, planejamento e realização de eventos nas 5 regioes do estado</t>
  </si>
  <si>
    <t>Chamamento Público 005/2016</t>
  </si>
  <si>
    <t>Contrato 009/2017</t>
  </si>
  <si>
    <t>11.112.423/0001-10</t>
  </si>
  <si>
    <t>Qualitest Ciência e Tecnologia Ltda. ME</t>
  </si>
  <si>
    <t>Empresa Especializada para realização de pesquisas de demanda turística para o Estado de PE</t>
  </si>
  <si>
    <t>Gerencia de Planejamento e Gestão</t>
  </si>
  <si>
    <t>Amanda Machado</t>
  </si>
  <si>
    <t>5001012015000001 (LOTE 1) 5001012015000003 (LOTE 3)</t>
  </si>
  <si>
    <t>Contrato 013/2017</t>
  </si>
  <si>
    <t>41.247.479/0001-42</t>
  </si>
  <si>
    <t>Cor Center Tintas Ltda.-ME</t>
  </si>
  <si>
    <t>Fornecimento parcelado de Materiais Elétrico, Hidráulico e de Consumo necessários a execução dos serviços no Centro de Convenções, Parque Memorial Arcoverde e Centro de Atendimento ao Turista - CAT</t>
  </si>
  <si>
    <t>657/2016</t>
  </si>
  <si>
    <t>Contrato 015/2017</t>
  </si>
  <si>
    <t>14.286.903/0001-95</t>
  </si>
  <si>
    <t>SALOC Locações Eireli - ME</t>
  </si>
  <si>
    <t>Serviços de Locação de 02 Veículos Hatch e 01 Veículo Caminhonete para a Arena Pernambuco</t>
  </si>
  <si>
    <t>477.2016.VI.PE.354.EMPETUR</t>
  </si>
  <si>
    <t>5001012015000024</t>
  </si>
  <si>
    <t>Não foi identificado detalhamento do objeto no Contrato, assim como Gestor</t>
  </si>
  <si>
    <t>Contrato 037/2017</t>
  </si>
  <si>
    <t>08.362.490/0001-88</t>
  </si>
  <si>
    <t>ADSERV Empreendimentos e Serviço Eireli</t>
  </si>
  <si>
    <t>Prestação de Serviços de Motoristas habilitados nas categorias B,C e D</t>
  </si>
  <si>
    <t>113.2016.I.PE.081.SAD</t>
  </si>
  <si>
    <t>5001012015000019</t>
  </si>
  <si>
    <t>Não foi identificado detalhamento do objeto no Contrato, solicitado a inserção do detalhamento a DJU</t>
  </si>
  <si>
    <r>
      <t xml:space="preserve">Prestação de Serviços de Motoristas habilitados nas categorias B,C e D  - </t>
    </r>
    <r>
      <rPr>
        <b/>
        <sz val="12"/>
        <color theme="1"/>
        <rFont val="Arial"/>
        <family val="2"/>
      </rPr>
      <t>DIARIAS DE CONDUTOR</t>
    </r>
  </si>
  <si>
    <t>Contrato 057/2017</t>
  </si>
  <si>
    <t>02.668.797/0001-25</t>
  </si>
  <si>
    <t>Brasil Gestão de Dados, Informações e Documentos Ltda. ME</t>
  </si>
  <si>
    <t>Prestação de Serviços Técnicos de Outsourcing de Tecnologia da informação, no modelo SaaS (Software as a Service - Full Cloud Computing)</t>
  </si>
  <si>
    <t>667/2016</t>
  </si>
  <si>
    <t>INPC</t>
  </si>
  <si>
    <t>Contrato 077/2017</t>
  </si>
  <si>
    <t>Plano de Saúde para os funcionários da EMPETUR</t>
  </si>
  <si>
    <t>Estimado</t>
  </si>
  <si>
    <t>Contrato 090/2017</t>
  </si>
  <si>
    <t>11.634.427/0001-68</t>
  </si>
  <si>
    <t>MF Serviços e Locação de Veículos Eireli EPP</t>
  </si>
  <si>
    <t>Locação de Veiculos Eventuais</t>
  </si>
  <si>
    <t>Contrato 092/2017</t>
  </si>
  <si>
    <t>10.461.277/0001-75</t>
  </si>
  <si>
    <t>Comodoro Comercial e Nutrição Ltda. ME</t>
  </si>
  <si>
    <t>Aquisição de papel reciclável</t>
  </si>
  <si>
    <t>Contrato 002/2013</t>
  </si>
  <si>
    <t>2013</t>
  </si>
  <si>
    <t>00.126.621/0001-16</t>
  </si>
  <si>
    <t>TRANS SERVI - Transporte e Serviços Ltda.-ME</t>
  </si>
  <si>
    <t>Prestação de Serviços de Taxi</t>
  </si>
  <si>
    <t>1º TA Prorrogação  2º TA Prorrogação 3º TA Prorrogação 4º TA prorrogação</t>
  </si>
  <si>
    <t>006.2012.I.PP.001.SAD</t>
  </si>
  <si>
    <t>5001012015000578</t>
  </si>
  <si>
    <t>CI 018/2016 UCO-ULG datada de 25/04/2017, dando conhecimento da impossibilidade de prorrogação contratual.</t>
  </si>
  <si>
    <t>Contrato 637/2014</t>
  </si>
  <si>
    <t>2014</t>
  </si>
  <si>
    <t>13.540.559/0001-56</t>
  </si>
  <si>
    <t>EPARK Estacionamentos Ltda</t>
  </si>
  <si>
    <t>Contratação de Empresa Especializada na operação, conservação e serviços correlatos do estacionamento de automoveis do Centro de Convenções de PE</t>
  </si>
  <si>
    <t xml:space="preserve">4º TA Reajuste 3º Prorrogação 2º Reajuste 1º Reajuste </t>
  </si>
  <si>
    <t>742/2014</t>
  </si>
  <si>
    <t>5001012015000049</t>
  </si>
  <si>
    <t>IGPM</t>
  </si>
  <si>
    <t>Remessa</t>
  </si>
  <si>
    <t>Contrato 453/2015</t>
  </si>
  <si>
    <t>2015</t>
  </si>
  <si>
    <t>11.146.610/0001-14</t>
  </si>
  <si>
    <t>Gráfica A Única Ltda.</t>
  </si>
  <si>
    <t xml:space="preserve">Fornecimento e confecção de 10.000 Sombrinhas de Frevo promocionais </t>
  </si>
  <si>
    <t>Gerencia Geral de Comunicação</t>
  </si>
  <si>
    <t>1º TA Acrescimo</t>
  </si>
  <si>
    <t>517/2015</t>
  </si>
  <si>
    <t>5001012015000722</t>
  </si>
  <si>
    <t>Contrato 457/2015</t>
  </si>
  <si>
    <t>Eventual Aquisição (por demanda) de Peças Gráficas</t>
  </si>
  <si>
    <t>23296.010681.2014-55 IFPE</t>
  </si>
  <si>
    <t>5001012015000055</t>
  </si>
  <si>
    <t>Contrato 274/2016</t>
  </si>
  <si>
    <t>2016</t>
  </si>
  <si>
    <t>CS Brasil Transportes de Passageiros e Serviços Ambientais Ltda.</t>
  </si>
  <si>
    <t>Locação de 4 Veiculos tipo passeio</t>
  </si>
  <si>
    <t>1373/2014</t>
  </si>
  <si>
    <t>Contrato 002/2016</t>
  </si>
  <si>
    <t>10.965.693/0001-00</t>
  </si>
  <si>
    <t>Locação de 04 Veículos Tipo Hatcch, administrativos, classificação VS-1</t>
  </si>
  <si>
    <t>275.2013.III.PE.162.SAD</t>
  </si>
  <si>
    <t>5001012016001871</t>
  </si>
  <si>
    <t>1º Termo de Apostilamento R$ 8.300,00 NE 000040, 02/01/2017, Janeiro a Fevereiro, uma vez que a Empresa entregou os carros 1 meses após vigencia do Contrato</t>
  </si>
  <si>
    <t>SAD autorizou prorrogação, Aguardando apenas a eleboração do 1º TA de Prazo pela DJU.</t>
  </si>
  <si>
    <t xml:space="preserve">Prestação de Serviços dos Profissionais do Tipo Auxiliar Administrativo e Analista de Negócios </t>
  </si>
  <si>
    <t xml:space="preserve">1º TA Acrescimo  2º TA Prorrogação </t>
  </si>
  <si>
    <t>215.2014.VI.PE.142.SAD</t>
  </si>
  <si>
    <t>4º Termo de Apostilamento R$ 718.918,48, NE 2017NE000161, 02/01/2017</t>
  </si>
  <si>
    <t xml:space="preserve">Oficio Nº 164/2017-GAPRE, 11/04/2017,(SIGEPE 2403053-8/2017) , Encaminhado a SAD Solicitando autorização do reajuste por requerimento da Empresa, oficio datado 10/02/2017 </t>
  </si>
  <si>
    <t>Contrato 004/2016</t>
  </si>
  <si>
    <t>40.938.508/0001-50</t>
  </si>
  <si>
    <t>MAQ-LAREM Maquinas Moveis e Equipamentos Ltda</t>
  </si>
  <si>
    <t>Fornecimento de solução de impressao (impressoras e multifuncionais)</t>
  </si>
  <si>
    <t>006/2016- CPL/CAMIL</t>
  </si>
  <si>
    <t>5001012015000016</t>
  </si>
  <si>
    <t>Encaminhado TR a  ATI visando abertura de novo Certame. Já encontra-se na CPL para Licitar</t>
  </si>
  <si>
    <t>Contrato 529/2016</t>
  </si>
  <si>
    <t>Prestação de Serviços de Assessor Especial</t>
  </si>
  <si>
    <t>1º TA reajuste</t>
  </si>
  <si>
    <t>173.2016.X.PE.124.EMPETUR</t>
  </si>
  <si>
    <t>5001012015000029</t>
  </si>
  <si>
    <t>CI 009/2016 UCO-ULG Solicitando Posicionamento da UAD Eliomar, para envio a SAD de Oficio 172- PRE SIGEPE 2402695-1/2017, 20/04/17 (Seguiu em 25/04/17). NOVO SIGEPE 24034421-2017</t>
  </si>
  <si>
    <t>Contrato 566/2016</t>
  </si>
  <si>
    <t>Emissão de Bilhetes Aereos para viagens nacionais e internacionais</t>
  </si>
  <si>
    <t>034.2016.VII.PE.023.SAD</t>
  </si>
  <si>
    <t>5001012015000552</t>
  </si>
  <si>
    <t>NE 2016NE001398 R$ 50.000,00, 05/08/2016,  seguido do 1º Apostilamento R$ 50.000,00 NE 2016NE001799, 10/11/2016.</t>
  </si>
  <si>
    <t>Falta Apostilamento para 2017</t>
  </si>
  <si>
    <t>Contrato 568/2016</t>
  </si>
  <si>
    <t>11.788.943/0001-47</t>
  </si>
  <si>
    <t>Única Terceirização e Serviços Eireli - EPP</t>
  </si>
  <si>
    <t>Prestação de Serviços de controle, operação e fiscalização de portaria</t>
  </si>
  <si>
    <t>198.2015.VI.PE.109.SAD</t>
  </si>
  <si>
    <t>2408339-2/2016</t>
  </si>
  <si>
    <t>5001012015001195</t>
  </si>
  <si>
    <t>1º Termo de Apostilamento R$ 195.175,68, NE 2017NE000124, 02/01/2017</t>
  </si>
  <si>
    <t xml:space="preserve">Oficio Nº 119/2017-GAPRE, 20/03/2017,(SIGEPE 2401769-2/2017) , Encaminhado a SAD Solicitando autorização do reajuste por requerimento da Empresa, oficio datado 02/03/2017 </t>
  </si>
  <si>
    <t>Contrato 582/2016</t>
  </si>
  <si>
    <t>05.654.826/0001-98</t>
  </si>
  <si>
    <t>Agil Empreendimentos e Serviços Ltda. ME</t>
  </si>
  <si>
    <t>Serviços de Manutenção Preventiva, corretiva e emergencial das instalaçoes prediais e dos equipamentos Empetur</t>
  </si>
  <si>
    <t>621/2016</t>
  </si>
  <si>
    <t>Liitação não submetida a SAD, observar se trata de serviços de engenharia.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</si>
</sst>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416]d\-mmm\-yy;@"/>
    <numFmt numFmtId="165" formatCode="mmmm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_(* #,##0.00_);_(* \(#,##0.00\);_(* \-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</font>
    <font>
      <sz val="12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5"/>
      <color indexed="56"/>
      <name val="Calibri"/>
      <family val="2"/>
    </font>
    <font>
      <b/>
      <sz val="10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gradientFill degree="270">
        <stop position="0">
          <color theme="0" tint="-5.0965910824915313E-2"/>
        </stop>
        <stop position="1">
          <color theme="0" tint="-0.25098422193060094"/>
        </stop>
      </gradientFill>
    </fill>
    <fill>
      <gradientFill degree="90">
        <stop position="0">
          <color theme="5" tint="-0.25098422193060094"/>
        </stop>
        <stop position="1">
          <color theme="5" tint="0.40000610370189521"/>
        </stop>
      </gradient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4F9E"/>
      </left>
      <right style="medium">
        <color rgb="FF004F9E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9" borderId="3" applyFont="0">
      <alignment horizontal="center" vertical="center" wrapText="1"/>
    </xf>
    <xf numFmtId="0" fontId="2" fillId="10" borderId="0">
      <alignment horizontal="center" vertical="center" wrapText="1"/>
    </xf>
    <xf numFmtId="0" fontId="13" fillId="0" borderId="0"/>
    <xf numFmtId="166" fontId="1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3" fillId="0" borderId="0" applyFill="0" applyBorder="0" applyAlignment="0" applyProtection="0"/>
    <xf numFmtId="167" fontId="14" fillId="0" borderId="0" applyFont="0" applyFill="0" applyBorder="0" applyAlignment="0" applyProtection="0"/>
    <xf numFmtId="0" fontId="16" fillId="0" borderId="4" applyNumberFormat="0" applyFill="0" applyAlignment="0" applyProtection="0"/>
    <xf numFmtId="0" fontId="17" fillId="0" borderId="1" applyNumberFormat="0" applyFill="0" applyAlignment="0" applyProtection="0"/>
    <xf numFmtId="167" fontId="1" fillId="0" borderId="0" applyFont="0" applyFill="0" applyBorder="0" applyAlignment="0" applyProtection="0"/>
  </cellStyleXfs>
  <cellXfs count="83">
    <xf numFmtId="0" fontId="0" fillId="0" borderId="0" xfId="0"/>
    <xf numFmtId="10" fontId="3" fillId="0" borderId="0" xfId="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1" fontId="3" fillId="4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6" fillId="5" borderId="0" xfId="0" applyNumberFormat="1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5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3" fontId="5" fillId="5" borderId="0" xfId="1" applyNumberFormat="1" applyFont="1" applyFill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/>
    </xf>
    <xf numFmtId="43" fontId="5" fillId="5" borderId="0" xfId="1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5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5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5" borderId="0" xfId="0" applyNumberFormat="1" applyFont="1" applyFill="1" applyBorder="1" applyAlignment="1">
      <alignment horizontal="center" vertical="center" wrapText="1"/>
    </xf>
    <xf numFmtId="0" fontId="9" fillId="5" borderId="0" xfId="0" applyNumberFormat="1" applyFont="1" applyFill="1" applyBorder="1" applyAlignment="1">
      <alignment horizontal="center" vertical="center" wrapText="1"/>
    </xf>
    <xf numFmtId="1" fontId="8" fillId="5" borderId="0" xfId="0" applyNumberFormat="1" applyFont="1" applyFill="1" applyAlignment="1">
      <alignment horizontal="center" vertical="center" wrapText="1"/>
    </xf>
    <xf numFmtId="1" fontId="8" fillId="5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3" fontId="8" fillId="5" borderId="0" xfId="1" applyNumberFormat="1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 indent="1"/>
    </xf>
    <xf numFmtId="49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4" fontId="5" fillId="0" borderId="0" xfId="0" applyNumberFormat="1" applyFont="1" applyFill="1" applyBorder="1" applyAlignment="1">
      <alignment vertical="center"/>
    </xf>
  </cellXfs>
  <cellStyles count="24">
    <cellStyle name="ANDRE-CABEÇALHO" xfId="3"/>
    <cellStyle name="Estilo 1" xfId="4"/>
    <cellStyle name="Excel Built-in Normal" xfId="5"/>
    <cellStyle name="Moeda 2" xfId="6"/>
    <cellStyle name="Normal" xfId="0" builtinId="0"/>
    <cellStyle name="Normal 2" xfId="7"/>
    <cellStyle name="Normal 2 2" xfId="8"/>
    <cellStyle name="Normal 2 3" xfId="9"/>
    <cellStyle name="Normal 3" xfId="10"/>
    <cellStyle name="Normal 3 2" xfId="11"/>
    <cellStyle name="Normal 4" xfId="12"/>
    <cellStyle name="Normal 5" xfId="13"/>
    <cellStyle name="Normal 6" xfId="14"/>
    <cellStyle name="Normal 7" xfId="15"/>
    <cellStyle name="Porcentagem" xfId="2" builtinId="5"/>
    <cellStyle name="Porcentagem 2" xfId="16"/>
    <cellStyle name="Separador de milhares 2" xfId="17"/>
    <cellStyle name="Separador de milhares 2 2" xfId="18"/>
    <cellStyle name="Separador de milhares 3" xfId="19"/>
    <cellStyle name="Separador de milhares 4" xfId="20"/>
    <cellStyle name="Título 1 1" xfId="21"/>
    <cellStyle name="Total 2" xfId="22"/>
    <cellStyle name="Vírgula" xfId="1" builtinId="3"/>
    <cellStyle name="Vírgula 2" xfId="23"/>
  </cellStyles>
  <dxfs count="64"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mm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[$-416]d\-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[$-416]d\-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4F9E"/>
        </left>
        <right style="medium">
          <color rgb="FF004F9E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0"/>
      </font>
      <fill>
        <patternFill>
          <bgColor theme="3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eStyleLight16 2" pivot="0" count="7">
      <tableStyleElement type="wholeTable" dxfId="63"/>
      <tableStyleElement type="headerRow" dxfId="62"/>
      <tableStyleElement type="totalRow" dxfId="61"/>
      <tableStyleElement type="firstColumn" dxfId="60"/>
      <tableStyleElement type="lastColumn" dxfId="59"/>
      <tableStyleElement type="firstRowStripe" dxfId="58"/>
      <tableStyleElement type="firstColumnStripe" dxfId="5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ETUR/ACOMPANHAMENTO%20CONTRATO%20%2024-03-2017%20(Repa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MPETUR/Administra&#231;&#227;o%20de%20Contratos%20EMPETU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ssoria-DG-Fundarpe/1-Principal/2013/FUNDARPE/Assessoria-DG-Fundarpe/Arquivos%20de%20trabalho/2012/teste%20or&#231;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Vigência"/>
      <sheetName val="2017"/>
      <sheetName val="BaseContratos"/>
      <sheetName val="Contratos EM EXECUÇÃO"/>
      <sheetName val="Consulta Variável"/>
      <sheetName val="Plan1"/>
      <sheetName val="Apostilamento 2017"/>
      <sheetName val="Última Conferência"/>
      <sheetName val="Guia Digitalização"/>
      <sheetName val="Apoio 1"/>
      <sheetName val="Apoio 2"/>
      <sheetName val="Base Painel Vigência"/>
      <sheetName val="Imagens"/>
      <sheetName val="Outros Painéis"/>
      <sheetName val="Montante do exerrcício"/>
      <sheetName val="Montante do exercício 2"/>
    </sheetNames>
    <sheetDataSet>
      <sheetData sheetId="0">
        <row r="13">
          <cell r="B13" t="str">
            <v>OK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ITEM</v>
          </cell>
          <cell r="B1" t="str">
            <v>TEMA</v>
          </cell>
          <cell r="C1" t="str">
            <v>CÓD. AÇÃO</v>
          </cell>
          <cell r="D1" t="str">
            <v>CÓD. SUBAÇÃO</v>
          </cell>
        </row>
        <row r="2">
          <cell r="A2" t="str">
            <v xml:space="preserve">Assinatura de periódicos e anuidades </v>
          </cell>
          <cell r="B2" t="str">
            <v>Outras Despesas</v>
          </cell>
          <cell r="C2">
            <v>4363</v>
          </cell>
          <cell r="D2" t="str">
            <v>0000</v>
          </cell>
        </row>
        <row r="3">
          <cell r="A3" t="str">
            <v>Capacitação e Treinamento de Pessoal</v>
          </cell>
          <cell r="B3" t="str">
            <v>Outras Despesas</v>
          </cell>
          <cell r="C3">
            <v>4363</v>
          </cell>
          <cell r="D3" t="str">
            <v>0000</v>
          </cell>
        </row>
        <row r="4">
          <cell r="A4" t="str">
            <v>Combustível</v>
          </cell>
          <cell r="B4" t="str">
            <v>Combustível</v>
          </cell>
          <cell r="C4">
            <v>4363</v>
          </cell>
          <cell r="D4" t="str">
            <v>B275</v>
          </cell>
        </row>
        <row r="5">
          <cell r="A5" t="str">
            <v>Despesas com Correspondência</v>
          </cell>
          <cell r="B5" t="str">
            <v>Outras Despesas</v>
          </cell>
          <cell r="C5">
            <v>4363</v>
          </cell>
          <cell r="D5" t="str">
            <v>0000</v>
          </cell>
        </row>
        <row r="6">
          <cell r="A6" t="str">
            <v>Diárias Civil para Colaboradores</v>
          </cell>
          <cell r="B6" t="str">
            <v>Outras Despesas</v>
          </cell>
          <cell r="C6">
            <v>4363</v>
          </cell>
          <cell r="D6" t="str">
            <v>0000</v>
          </cell>
        </row>
        <row r="7">
          <cell r="A7" t="str">
            <v>Diárias Civil para Servidores</v>
          </cell>
          <cell r="B7" t="str">
            <v>Outras Despesas</v>
          </cell>
          <cell r="C7">
            <v>4363</v>
          </cell>
          <cell r="D7" t="str">
            <v>0000</v>
          </cell>
        </row>
        <row r="8">
          <cell r="A8" t="str">
            <v>Encargos com o PASEP</v>
          </cell>
          <cell r="B8" t="str">
            <v>Outras Despesas</v>
          </cell>
          <cell r="C8">
            <v>4363</v>
          </cell>
          <cell r="D8" t="str">
            <v>0819</v>
          </cell>
        </row>
        <row r="9">
          <cell r="A9" t="str">
            <v>Energia Elétrica</v>
          </cell>
          <cell r="B9" t="str">
            <v>Energia Elétrica</v>
          </cell>
          <cell r="C9">
            <v>4363</v>
          </cell>
          <cell r="D9" t="str">
            <v>C114</v>
          </cell>
        </row>
        <row r="10">
          <cell r="A10" t="str">
            <v>Estagiários</v>
          </cell>
          <cell r="B10" t="str">
            <v>Estagiários</v>
          </cell>
          <cell r="C10">
            <v>4363</v>
          </cell>
          <cell r="D10" t="str">
            <v>C113</v>
          </cell>
        </row>
        <row r="11">
          <cell r="A11" t="str">
            <v>Gestão de Documentos</v>
          </cell>
          <cell r="B11" t="str">
            <v>Outras Despesas</v>
          </cell>
          <cell r="C11">
            <v>4363</v>
          </cell>
          <cell r="D11" t="str">
            <v>0000</v>
          </cell>
        </row>
        <row r="12">
          <cell r="A12" t="str">
            <v>Hospedagens</v>
          </cell>
          <cell r="B12" t="str">
            <v>Outras Despesas</v>
          </cell>
          <cell r="C12">
            <v>4363</v>
          </cell>
          <cell r="D12" t="str">
            <v>0000</v>
          </cell>
        </row>
        <row r="13">
          <cell r="A13" t="str">
            <v>Locação de Imóveis</v>
          </cell>
          <cell r="B13" t="str">
            <v>Outras Despesas</v>
          </cell>
          <cell r="C13">
            <v>4363</v>
          </cell>
          <cell r="D13" t="str">
            <v>0000</v>
          </cell>
        </row>
        <row r="14">
          <cell r="A14" t="str">
            <v>Locação de Veículos Oficiais</v>
          </cell>
          <cell r="B14" t="str">
            <v>Locação de Veículos</v>
          </cell>
          <cell r="C14">
            <v>4363</v>
          </cell>
          <cell r="D14" t="str">
            <v>C115</v>
          </cell>
        </row>
        <row r="15">
          <cell r="A15" t="str">
            <v>Manutenção de Máquinas e Equipamentos</v>
          </cell>
          <cell r="B15" t="str">
            <v>Outras Despesas</v>
          </cell>
          <cell r="C15">
            <v>4363</v>
          </cell>
          <cell r="D15" t="str">
            <v>0000</v>
          </cell>
        </row>
        <row r="16">
          <cell r="A16" t="str">
            <v>Manutenção e Conservação de Bens Imóveis</v>
          </cell>
          <cell r="B16" t="str">
            <v>Outras Despesas</v>
          </cell>
          <cell r="C16">
            <v>4363</v>
          </cell>
          <cell r="D16" t="str">
            <v>0000</v>
          </cell>
        </row>
        <row r="17">
          <cell r="A17" t="str">
            <v>Material de Consumo</v>
          </cell>
          <cell r="B17" t="str">
            <v>Outras Despesas</v>
          </cell>
          <cell r="C17">
            <v>4363</v>
          </cell>
          <cell r="D17" t="str">
            <v>0000</v>
          </cell>
        </row>
        <row r="18">
          <cell r="A18" t="str">
            <v>Outras Despesas de Custeio</v>
          </cell>
          <cell r="B18" t="str">
            <v>Outras Despesas</v>
          </cell>
          <cell r="C18">
            <v>4363</v>
          </cell>
          <cell r="D18" t="str">
            <v>0000</v>
          </cell>
        </row>
        <row r="19">
          <cell r="A19" t="str">
            <v>Passagens Aéreas</v>
          </cell>
          <cell r="B19" t="str">
            <v>Outras Despesas</v>
          </cell>
          <cell r="C19">
            <v>4363</v>
          </cell>
          <cell r="D19" t="str">
            <v>0000</v>
          </cell>
        </row>
        <row r="20">
          <cell r="A20" t="str">
            <v>Publicações Oficiais</v>
          </cell>
          <cell r="B20" t="str">
            <v>Publicações Oficiais</v>
          </cell>
          <cell r="C20">
            <v>4363</v>
          </cell>
          <cell r="D20" t="str">
            <v>C116</v>
          </cell>
        </row>
        <row r="21">
          <cell r="A21" t="str">
            <v>Reeducandos</v>
          </cell>
          <cell r="B21" t="str">
            <v>Outras Despesas</v>
          </cell>
          <cell r="C21">
            <v>4363</v>
          </cell>
          <cell r="D21" t="str">
            <v>0000</v>
          </cell>
        </row>
        <row r="22">
          <cell r="A22" t="str">
            <v>Senteças Judiciais</v>
          </cell>
          <cell r="B22" t="str">
            <v>Outras Despesas</v>
          </cell>
          <cell r="C22">
            <v>4363</v>
          </cell>
          <cell r="D22" t="str">
            <v>0000</v>
          </cell>
        </row>
        <row r="23">
          <cell r="A23" t="str">
            <v>Serviços de Água e Esgoto</v>
          </cell>
          <cell r="B23" t="str">
            <v>Água e Esgoto</v>
          </cell>
          <cell r="C23">
            <v>4363</v>
          </cell>
          <cell r="D23" t="str">
            <v>C112</v>
          </cell>
        </row>
        <row r="24">
          <cell r="A24" t="str">
            <v>Serviços de Apoio Administrativo</v>
          </cell>
          <cell r="B24" t="str">
            <v>Apoio Administrativo</v>
          </cell>
          <cell r="C24">
            <v>4363</v>
          </cell>
          <cell r="D24" t="str">
            <v>B267</v>
          </cell>
        </row>
        <row r="25">
          <cell r="A25" t="str">
            <v>Serviços de Condução de Veículos</v>
          </cell>
          <cell r="B25" t="str">
            <v>Outras Despesas</v>
          </cell>
          <cell r="C25">
            <v>4363</v>
          </cell>
          <cell r="D25" t="str">
            <v>0000</v>
          </cell>
        </row>
        <row r="26">
          <cell r="A26" t="str">
            <v>Serviços de Informática</v>
          </cell>
          <cell r="B26" t="str">
            <v>Atividades de Informática</v>
          </cell>
          <cell r="C26" t="str">
            <v>2072</v>
          </cell>
          <cell r="D26" t="str">
            <v>0000</v>
          </cell>
        </row>
        <row r="27">
          <cell r="A27" t="str">
            <v>Serviços de Limpeza</v>
          </cell>
          <cell r="B27" t="str">
            <v>Limpeza e Conservação</v>
          </cell>
          <cell r="C27">
            <v>4363</v>
          </cell>
          <cell r="D27" t="str">
            <v>B274</v>
          </cell>
        </row>
        <row r="28">
          <cell r="A28" t="str">
            <v>Serviços Gráficos</v>
          </cell>
          <cell r="B28" t="str">
            <v>Outras Despesas</v>
          </cell>
          <cell r="C28">
            <v>4363</v>
          </cell>
          <cell r="D28" t="str">
            <v>0000</v>
          </cell>
        </row>
        <row r="29">
          <cell r="A29" t="str">
            <v>Suprimento Individual</v>
          </cell>
          <cell r="B29" t="str">
            <v>Outras Despesas</v>
          </cell>
          <cell r="C29">
            <v>4363</v>
          </cell>
          <cell r="D29" t="str">
            <v>0000</v>
          </cell>
        </row>
        <row r="30">
          <cell r="A30" t="str">
            <v>Telefonia e Dados</v>
          </cell>
          <cell r="B30" t="str">
            <v>Rede Digital Corporativa</v>
          </cell>
          <cell r="C30">
            <v>4487</v>
          </cell>
          <cell r="D30" t="str">
            <v>A832</v>
          </cell>
        </row>
        <row r="31">
          <cell r="A31" t="str">
            <v>Tributos, Impostos, Taxas e Contribuições</v>
          </cell>
          <cell r="B31" t="str">
            <v>Outras Despesas</v>
          </cell>
          <cell r="C31">
            <v>4363</v>
          </cell>
          <cell r="D31" t="str">
            <v>0000</v>
          </cell>
        </row>
        <row r="32">
          <cell r="A32" t="str">
            <v>Vale Alimentação para Servidores</v>
          </cell>
          <cell r="B32" t="str">
            <v>Vale Alimentação</v>
          </cell>
          <cell r="C32" t="str">
            <v>0819</v>
          </cell>
          <cell r="D32" t="str">
            <v>B276</v>
          </cell>
        </row>
        <row r="33">
          <cell r="A33" t="str">
            <v>Vale Transporte para Servidores</v>
          </cell>
          <cell r="B33" t="str">
            <v>Vale Transporte</v>
          </cell>
          <cell r="C33" t="str">
            <v>0819</v>
          </cell>
          <cell r="D33" t="str">
            <v>B278</v>
          </cell>
        </row>
        <row r="34">
          <cell r="A34" t="str">
            <v>Vigilância Ostensiva</v>
          </cell>
          <cell r="B34" t="str">
            <v>Vigilância</v>
          </cell>
          <cell r="C34">
            <v>4363</v>
          </cell>
          <cell r="D34" t="str">
            <v>B272</v>
          </cell>
        </row>
      </sheetData>
      <sheetData sheetId="11"/>
      <sheetData sheetId="12">
        <row r="1">
          <cell r="A1" t="str">
            <v>Atenção</v>
          </cell>
        </row>
        <row r="2">
          <cell r="A2" t="str">
            <v>OK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Vigência"/>
      <sheetName val="2017"/>
      <sheetName val="Plan1"/>
      <sheetName val="BaseContratos"/>
      <sheetName val="Contratos EM EXECUÇÃO"/>
      <sheetName val="Contratos EM EXECUÇÃO (2)"/>
      <sheetName val="Apostilamento 2016"/>
      <sheetName val="Última Conferência"/>
      <sheetName val="Guia Digitalização"/>
      <sheetName val="Apoio 1"/>
      <sheetName val="Apoio 2"/>
      <sheetName val="Base Painel Vigência"/>
      <sheetName val="Imagens"/>
      <sheetName val="Outros Painéis"/>
      <sheetName val="Montante do exerrcício"/>
      <sheetName val="Montante do exercício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ITEM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ualizado"/>
      <sheetName val="500100"/>
      <sheetName val="500101"/>
      <sheetName val="Por FF"/>
      <sheetName val="UGC"/>
      <sheetName val="UGE"/>
      <sheetName val="UG TOTAL"/>
      <sheetName val="CONTROLE PROG FINAN UGE"/>
      <sheetName val="Plan1"/>
      <sheetName val="VALIDAÇÃO"/>
      <sheetName val="Plan2"/>
      <sheetName val="Plan3"/>
      <sheetName val="Pla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CUSTEIO - Água e Esgoto</v>
          </cell>
        </row>
        <row r="3">
          <cell r="A3" t="str">
            <v>CUSTEIO - Combustível</v>
          </cell>
        </row>
        <row r="4">
          <cell r="A4" t="str">
            <v>CUSTEIO - Cota Global</v>
          </cell>
        </row>
        <row r="5">
          <cell r="A5" t="str">
            <v>CUSTEIO - Diárias Civil</v>
          </cell>
        </row>
        <row r="6">
          <cell r="A6" t="str">
            <v>CUSTEIO - Energia Elétrica</v>
          </cell>
        </row>
        <row r="7">
          <cell r="A7" t="str">
            <v>CUSTEIO - Locação de Veículos</v>
          </cell>
        </row>
        <row r="8">
          <cell r="A8" t="str">
            <v>CUSTEIO - PE-Multidigital</v>
          </cell>
        </row>
        <row r="9">
          <cell r="A9" t="str">
            <v>CUSTEIO - Vale/Auxílio Alimentação</v>
          </cell>
        </row>
        <row r="10">
          <cell r="A10" t="str">
            <v>CUSTEIO - Vale/Auxílio Transporte</v>
          </cell>
        </row>
        <row r="11">
          <cell r="A11" t="str">
            <v>DESPESA DE EXERCÍCIO ANTERIOR 3.1. 0101</v>
          </cell>
        </row>
        <row r="12">
          <cell r="A12" t="str">
            <v>DESPESA DE EXERCÍCIO ANTERIOR 3.3. 0101</v>
          </cell>
        </row>
        <row r="13">
          <cell r="A13" t="str">
            <v>DESPESA DE EXERCÍCIO ANTERIOR 4.4. 0101</v>
          </cell>
        </row>
        <row r="14">
          <cell r="A14" t="str">
            <v>DESPESA DE EXERCÍCIO ANTERIOR 3.3.0248</v>
          </cell>
        </row>
        <row r="15">
          <cell r="A15" t="str">
            <v>DEVOLUÇÃO DE CONVÊNIOS - Devolução - Recursos do Concedente</v>
          </cell>
        </row>
        <row r="16">
          <cell r="A16" t="str">
            <v>EXECUÇÃO DE CONVÊNIOS - Recursos do Concedente</v>
          </cell>
        </row>
        <row r="17">
          <cell r="A17" t="str">
            <v>EXECUTIVA - Contrapartida de Convênios Fnt 0101</v>
          </cell>
        </row>
        <row r="18">
          <cell r="A18" t="str">
            <v>EXECUTIVA - Festivais Pernambuco Nação Cultural</v>
          </cell>
        </row>
        <row r="19">
          <cell r="A19" t="str">
            <v>EXECUTIVA - Outros Fnt 0101</v>
          </cell>
        </row>
        <row r="20">
          <cell r="A20" t="str">
            <v>EXECUTIVA - São João</v>
          </cell>
        </row>
        <row r="21">
          <cell r="A21" t="str">
            <v>INVESTIMENTOS 0241</v>
          </cell>
        </row>
        <row r="22">
          <cell r="A22" t="str">
            <v>INVESTIMENTOS 0248</v>
          </cell>
        </row>
        <row r="23">
          <cell r="A23" t="str">
            <v>OUTRAS DESPESAS CORRENTES 3.3. 0101</v>
          </cell>
        </row>
        <row r="24">
          <cell r="A24" t="str">
            <v>OUTRAS DESPESAS CORRENTES 3.3. 0241</v>
          </cell>
        </row>
        <row r="25">
          <cell r="A25" t="str">
            <v>OUTRAS DESPESAS CORRENTES 3.3. 0248000101</v>
          </cell>
        </row>
        <row r="26">
          <cell r="A26" t="str">
            <v>OUTRAS DESPESAS CORRENTES 3.3. 0248000102</v>
          </cell>
        </row>
        <row r="27">
          <cell r="A27" t="str">
            <v>OUTRAS DESPESAS CORRENTES 3.3. 0248000103</v>
          </cell>
        </row>
        <row r="28">
          <cell r="A28" t="str">
            <v>PASEP</v>
          </cell>
        </row>
        <row r="29">
          <cell r="A29" t="str">
            <v>PESSOAL E ENCARGOS SOCIAIS - FUNAFIN da Folha</v>
          </cell>
        </row>
        <row r="30">
          <cell r="A30" t="str">
            <v>PESSOAL E ENCARGOS SOCIAIS - INSS e FGTS da Folha</v>
          </cell>
        </row>
        <row r="31">
          <cell r="A31" t="str">
            <v>PESSOAL E ENCARGOS SOCIAIS - Pessoal e Encargos Sociais</v>
          </cell>
        </row>
        <row r="32">
          <cell r="A32" t="str">
            <v>PESSOAL E ENCARGOS SOCIAIS - Ressarcimento Pessoal à Disposição</v>
          </cell>
        </row>
        <row r="33">
          <cell r="A33" t="str">
            <v>SEM FF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id="1" name="Tab_CONTRATOS" displayName="Tab_CONTRATOS" ref="A1:AW54" totalsRowShown="0" headerRowDxfId="56" dataDxfId="55">
  <autoFilter ref="A1:AW54">
    <filterColumn colId="15">
      <filters>
        <filter val="Não"/>
      </filters>
    </filterColumn>
  </autoFilter>
  <sortState ref="A2:AW54">
    <sortCondition ref="B1:B54"/>
  </sortState>
  <tableColumns count="49">
    <tableColumn id="2" name="INSTRUMENTO" dataDxfId="54"/>
    <tableColumn id="36" name="ANO DO CONTRATO" dataDxfId="53"/>
    <tableColumn id="3" name="CNPJ / CPF" dataDxfId="52"/>
    <tableColumn id="4" name="CREDOR" dataDxfId="51"/>
    <tableColumn id="5" name="OBJETO RESUMIDO" dataDxfId="50"/>
    <tableColumn id="1" name="Envolve Mão de Obra?" dataDxfId="49"/>
    <tableColumn id="31" name="GESTOR (SETOR)" dataDxfId="48"/>
    <tableColumn id="11" name="NOME DO GESTOR" dataDxfId="47"/>
    <tableColumn id="35" name="CPF ou MATRÍCULA" dataDxfId="46"/>
    <tableColumn id="12" name="FISCAL" dataDxfId="45"/>
    <tableColumn id="34" name="CPF ou MATRÍCULA2" dataDxfId="44"/>
    <tableColumn id="7" name="VALOR MENSAL" dataDxfId="43"/>
    <tableColumn id="27" name="VALOR ANUAL" dataDxfId="42">
      <calculatedColumnFormula>IF(Tab_CONTRATOS[[#This Row],[INSTRUMENTO]]="","",Tab_CONTRATOS[[#This Row],[VALOR MENSAL]]*12)</calculatedColumnFormula>
    </tableColumn>
    <tableColumn id="8" name="INICIO DA VIGÊNCIA" dataDxfId="41"/>
    <tableColumn id="9" name="FIM DA VIGÊNICA" dataDxfId="40"/>
    <tableColumn id="28" name="ENCERRADO" dataDxfId="39"/>
    <tableColumn id="19" name="TOTAL DE MESES" dataDxfId="38">
      <calculatedColumnFormula>IF(Tab_CONTRATOS[[#This Row],[INSTRUMENTO]]="","",IF(OR(Tab_CONTRATOS[[#This Row],[INICIO DA VIGÊNCIA]]="",Tab_CONTRATOS[[#This Row],[FIM DA VIGÊNICA]]=""),"erro!",TRUNC((Tab_CONTRATOS[[#This Row],[FIM DA VIGÊNICA]]-Tab_CONTRATOS[[#This Row],[INICIO DA VIGÊNCIA]])/30,0)))</calculatedColumnFormula>
    </tableColumn>
    <tableColumn id="20" name="LIMITE DE MESES" dataDxfId="37"/>
    <tableColumn id="10" name="ÚLTIMO TERMO ADITIVO" dataDxfId="36"/>
    <tableColumn id="21" name="CUSTO" dataDxfId="35"/>
    <tableColumn id="13" name="PROCESSO" dataDxfId="34"/>
    <tableColumn id="14" name="SIGEPE" dataDxfId="33"/>
    <tableColumn id="15" name="ITEM" dataDxfId="32"/>
    <tableColumn id="16" name="TEMA DE CUSTO" dataDxfId="31">
      <calculatedColumnFormula>INDEX('[1]Apoio 2'!B:B,MATCH(Tab_CONTRATOS[[#This Row],[ITEM]],'[1]Apoio 2'!A:A,0))</calculatedColumnFormula>
    </tableColumn>
    <tableColumn id="17" name="CÓD. AÇÃO" dataDxfId="30">
      <calculatedColumnFormula>INDEX('[1]Apoio 2'!C:C,MATCH(Tab_CONTRATOS[[#This Row],[TEMA DE CUSTO]],'[1]Apoio 2'!B:B,0))</calculatedColumnFormula>
    </tableColumn>
    <tableColumn id="18" name="CÓD. SUBAÇÃO" dataDxfId="29">
      <calculatedColumnFormula>INDEX('[1]Apoio 2'!D:D,MATCH(Tab_CONTRATOS[[#This Row],[TEMA DE CUSTO]],'[1]Apoio 2'!B:B,0))</calculatedColumnFormula>
    </tableColumn>
    <tableColumn id="22" name="VENCIMENTO" dataDxfId="28">
      <calculatedColumnFormula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Row],[ABS]]&gt;0,CONCATENATE(AH2,Tab_CONTRATOS[[#This Row],[ABS]],Tab_CONTRATOS[[#This Row],[TXT DIA]]," para o vencimento")))),"Contrato Encerrado")</calculatedColumnFormula>
    </tableColumn>
    <tableColumn id="32" name="SITUAÇÃO" dataDxfId="27">
      <calculatedColumnFormula>IF(Tab_CONTRATOS[[#This Row],[ENCERRADO]]="Sim","Encerrado",IF(Tab_CONTRATOS[[#This Row],[DIF DIAS]]&gt;=0,"Em Execução",IF(Tab_CONTRATOS[[#This Row],[DIF DIAS]]&lt;0,"Vencido","ERRO!")))</calculatedColumnFormula>
    </tableColumn>
    <tableColumn id="29" name="MÊS DE VENCIMENTO" dataDxfId="26">
      <calculatedColumnFormula>PROPER(TEXT(Tab_CONTRATOS[[#This Row],[FIM DA VIGÊNICA]],"Mmmm"))</calculatedColumnFormula>
    </tableColumn>
    <tableColumn id="30" name="ANO DE VENCIMENTO" dataDxfId="25">
      <calculatedColumnFormula>YEAR(Tab_CONTRATOS[[#This Row],[FIM DA VIGÊNICA]])</calculatedColumnFormula>
    </tableColumn>
    <tableColumn id="23" name="DIF DIAS" dataDxfId="24">
      <calculatedColumnFormula>IF(Tab_CONTRATOS[[#This Row],[ENCERRADO]]="Sim","***",Tab_CONTRATOS[[#This Row],[FIM DA VIGÊNICA]]-TODAY())</calculatedColumnFormula>
    </tableColumn>
    <tableColumn id="25" name="ABS" dataDxfId="23">
      <calculatedColumnFormula>IF(Tab_CONTRATOS[[#This Row],[ENCERRADO]]="Sim","***",ABS(Tab_CONTRATOS[[#This Row],[DIF DIAS]]))</calculatedColumnFormula>
    </tableColumn>
    <tableColumn id="24" name="TXT DIA" dataDxfId="22">
      <calculatedColumnFormula>IF(Tab_CONTRATOS[[#This Row],[ENCERRADO]]="Sim","***",IF(Tab_CONTRATOS[[#This Row],[DIF DIAS]]=1," dia ",IF(Tab_CONTRATOS[[#This Row],[DIF DIAS]]&lt;&gt;0," dias ")))</calculatedColumnFormula>
    </tableColumn>
    <tableColumn id="26" name="TXT FALTA" dataDxfId="21">
      <calculatedColumnFormula>IF(Tab_CONTRATOS[[#This Row],[ENCERRADO]]="Sim","***",IF(Tab_CONTRATOS[[#This Row],[DIF DIAS]]=1,"Falta ",IF(Tab_CONTRATOS[[#This Row],[DIF DIAS]]&lt;&gt;0,"Faltam ")))</calculatedColumnFormula>
    </tableColumn>
    <tableColumn id="33" name="FAIXA" dataDxfId="20">
      <calculatedColumnFormula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calculatedColumnFormula>
    </tableColumn>
    <tableColumn id="41" name="Cód Fonte de Recursos" dataDxfId="19"/>
    <tableColumn id="6" name="CL" dataDxfId="18"/>
    <tableColumn id="39" name="Índice de Reajuste" dataDxfId="17"/>
    <tableColumn id="37" name="Data da Proposta" dataDxfId="16"/>
    <tableColumn id="38" name="Período de Reajuste" dataDxfId="15">
      <calculatedColumnFormula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calculatedColumnFormula>
    </tableColumn>
    <tableColumn id="40" name="Montante do exercício (até a vigência)" dataDxfId="14" dataCellStyle="Vírgula">
      <calculatedColumnFormula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calculatedColumnFormula>
    </tableColumn>
    <tableColumn id="42" name="Entra no Relatório de Contratos?" dataDxfId="13"/>
    <tableColumn id="44" name="Saldo Prorrogação" dataDxfId="12">
      <calculatedColumnFormula>Tab_CONTRATOS[[#This Row],[LIMITE DE MESES]]-Tab_CONTRATOS[[#This Row],[TOTAL DE MESES]]</calculatedColumnFormula>
    </tableColumn>
    <tableColumn id="49" name="Observação " dataDxfId="11"/>
    <tableColumn id="43" name="Análise Prorrogação" dataDxfId="10">
      <calculatedColumnFormula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calculatedColumnFormula>
    </tableColumn>
    <tableColumn id="45" name="Observação" dataDxfId="9"/>
    <tableColumn id="46" name="Ficha Financeira" dataDxfId="8"/>
    <tableColumn id="47" name="Status" dataDxfId="7"/>
    <tableColumn id="48" name="Colunas1" dataDxfId="6"/>
  </tableColumns>
  <tableStyleInfo name="TableStyleLight16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Y61"/>
  <sheetViews>
    <sheetView tabSelected="1" view="pageBreakPreview" zoomScale="77" zoomScaleNormal="70" zoomScaleSheetLayoutView="77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44" sqref="L44"/>
    </sheetView>
  </sheetViews>
  <sheetFormatPr defaultColWidth="9" defaultRowHeight="15" x14ac:dyDescent="0.2"/>
  <cols>
    <col min="1" max="1" width="17.85546875" style="34" customWidth="1"/>
    <col min="2" max="2" width="15.28515625" style="34" customWidth="1"/>
    <col min="3" max="3" width="22.85546875" style="74" customWidth="1"/>
    <col min="4" max="4" width="22.5703125" style="34" customWidth="1"/>
    <col min="5" max="5" width="41.5703125" style="34" customWidth="1"/>
    <col min="6" max="6" width="16.5703125" style="34" hidden="1" customWidth="1"/>
    <col min="7" max="7" width="15.5703125" style="34" hidden="1" customWidth="1"/>
    <col min="8" max="8" width="11" style="34" hidden="1" customWidth="1"/>
    <col min="9" max="11" width="18.140625" style="34" hidden="1" customWidth="1"/>
    <col min="12" max="12" width="12.42578125" style="82" customWidth="1"/>
    <col min="13" max="13" width="14.28515625" style="75" customWidth="1"/>
    <col min="14" max="15" width="12.7109375" style="76" customWidth="1"/>
    <col min="16" max="16" width="9.140625" style="34" customWidth="1"/>
    <col min="17" max="18" width="11.5703125" style="77" customWidth="1"/>
    <col min="19" max="19" width="28.28515625" style="78" hidden="1" customWidth="1"/>
    <col min="20" max="20" width="18.85546875" style="34" hidden="1" customWidth="1"/>
    <col min="21" max="21" width="18.5703125" style="34" hidden="1" customWidth="1"/>
    <col min="22" max="22" width="18.85546875" style="79" hidden="1" customWidth="1"/>
    <col min="23" max="23" width="43" style="79" hidden="1" customWidth="1"/>
    <col min="24" max="24" width="32.7109375" style="74" hidden="1" customWidth="1"/>
    <col min="25" max="25" width="11" style="20" hidden="1" customWidth="1"/>
    <col min="26" max="26" width="14.140625" style="19" hidden="1" customWidth="1"/>
    <col min="27" max="27" width="17.42578125" style="80" hidden="1" customWidth="1"/>
    <col min="28" max="28" width="16.42578125" style="80" hidden="1" customWidth="1"/>
    <col min="29" max="30" width="15.5703125" style="80" hidden="1" customWidth="1"/>
    <col min="31" max="31" width="12.7109375" style="81" hidden="1" customWidth="1"/>
    <col min="32" max="32" width="13.7109375" style="78" hidden="1" customWidth="1"/>
    <col min="33" max="33" width="16.85546875" style="78" hidden="1" customWidth="1"/>
    <col min="34" max="34" width="10" style="78" hidden="1" customWidth="1"/>
    <col min="35" max="35" width="10.28515625" style="34" hidden="1" customWidth="1"/>
    <col min="36" max="36" width="14.85546875" style="77" hidden="1" customWidth="1"/>
    <col min="37" max="37" width="25.42578125" style="34" hidden="1" customWidth="1"/>
    <col min="38" max="38" width="21" style="34" hidden="1" customWidth="1"/>
    <col min="39" max="39" width="14.5703125" style="34" hidden="1" customWidth="1"/>
    <col min="40" max="40" width="13.85546875" style="34" hidden="1" customWidth="1"/>
    <col min="41" max="41" width="19" style="77" hidden="1" customWidth="1"/>
    <col min="42" max="42" width="19" style="34" hidden="1" customWidth="1"/>
    <col min="43" max="43" width="11.5703125" style="34" hidden="1" customWidth="1"/>
    <col min="44" max="44" width="20" style="34" bestFit="1" customWidth="1"/>
    <col min="45" max="45" width="20.85546875" style="34" hidden="1" customWidth="1"/>
    <col min="46" max="46" width="28.7109375" style="34" hidden="1" customWidth="1"/>
    <col min="47" max="47" width="35.42578125" style="34" hidden="1" customWidth="1"/>
    <col min="48" max="48" width="28.5703125" style="34" hidden="1" customWidth="1"/>
    <col min="49" max="49" width="12.85546875" style="34" hidden="1" customWidth="1"/>
    <col min="50" max="50" width="16.140625" style="34" bestFit="1" customWidth="1"/>
    <col min="51" max="51" width="14.28515625" style="34" bestFit="1" customWidth="1"/>
    <col min="52" max="16384" width="9" style="34"/>
  </cols>
  <sheetData>
    <row r="1" spans="1:49" s="17" customFormat="1" ht="49.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10" t="s">
        <v>17</v>
      </c>
      <c r="S1" s="4" t="s">
        <v>18</v>
      </c>
      <c r="T1" s="4" t="s">
        <v>19</v>
      </c>
      <c r="U1" s="3" t="s">
        <v>20</v>
      </c>
      <c r="V1" s="3" t="s">
        <v>21</v>
      </c>
      <c r="W1" s="3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2" t="s">
        <v>30</v>
      </c>
      <c r="AF1" s="12" t="s">
        <v>31</v>
      </c>
      <c r="AG1" s="13" t="s">
        <v>32</v>
      </c>
      <c r="AH1" s="14" t="s">
        <v>33</v>
      </c>
      <c r="AI1" s="13" t="s">
        <v>34</v>
      </c>
      <c r="AJ1" s="15" t="s">
        <v>35</v>
      </c>
      <c r="AK1" s="2" t="s">
        <v>36</v>
      </c>
      <c r="AL1" s="2" t="s">
        <v>37</v>
      </c>
      <c r="AM1" s="2" t="s">
        <v>38</v>
      </c>
      <c r="AN1" s="16" t="s">
        <v>39</v>
      </c>
      <c r="AO1" s="16" t="s">
        <v>40</v>
      </c>
      <c r="AP1" s="2" t="s">
        <v>41</v>
      </c>
      <c r="AQ1" s="16" t="s">
        <v>42</v>
      </c>
      <c r="AR1" s="16" t="s">
        <v>43</v>
      </c>
      <c r="AS1" s="16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t="173.25" hidden="1" x14ac:dyDescent="0.25">
      <c r="A2" s="18" t="s">
        <v>49</v>
      </c>
      <c r="B2" s="19">
        <v>2010</v>
      </c>
      <c r="C2" s="20" t="s">
        <v>50</v>
      </c>
      <c r="D2" s="21" t="s">
        <v>51</v>
      </c>
      <c r="E2" s="21" t="s">
        <v>52</v>
      </c>
      <c r="F2" s="18" t="s">
        <v>53</v>
      </c>
      <c r="G2" s="18" t="s">
        <v>54</v>
      </c>
      <c r="H2" s="18" t="s">
        <v>55</v>
      </c>
      <c r="I2" s="18"/>
      <c r="J2" s="18" t="s">
        <v>56</v>
      </c>
      <c r="K2" s="18" t="s">
        <v>57</v>
      </c>
      <c r="L2" s="22">
        <f>2933.23+1185.18</f>
        <v>4118.41</v>
      </c>
      <c r="M2" s="23">
        <f>IF(Tab_CONTRATOS[[#This Row],[INSTRUMENTO]]="","",Tab_CONTRATOS[[#This Row],[VALOR MENSAL]]*12)</f>
        <v>49420.92</v>
      </c>
      <c r="N2" s="24">
        <v>40337</v>
      </c>
      <c r="O2" s="24">
        <v>42551</v>
      </c>
      <c r="P2" s="25" t="s">
        <v>58</v>
      </c>
      <c r="Q2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73</v>
      </c>
      <c r="R2" s="25">
        <v>60</v>
      </c>
      <c r="S2" s="18" t="s">
        <v>59</v>
      </c>
      <c r="T2" s="18" t="s">
        <v>60</v>
      </c>
      <c r="U2" s="20" t="s">
        <v>61</v>
      </c>
      <c r="V2" s="20"/>
      <c r="W2" s="27"/>
      <c r="X2" s="28" t="e">
        <f>INDEX('[1]Apoio 2'!B:B,MATCH(Tab_CONTRATOS[[#This Row],[ITEM]],'[1]Apoio 2'!A:A,0))</f>
        <v>#N/A</v>
      </c>
      <c r="Y2" s="28" t="e">
        <f>INDEX('[1]Apoio 2'!C:C,MATCH(Tab_CONTRATOS[[#This Row],[TEMA DE CUSTO]],'[1]Apoio 2'!B:B,0))</f>
        <v>#N/A</v>
      </c>
      <c r="Z2" s="28" t="e">
        <f>INDEX('[1]Apoio 2'!D:D,MATCH(Tab_CONTRATOS[[#This Row],[TEMA DE CUSTO]],'[1]Apoio 2'!B:B,0))</f>
        <v>#N/A</v>
      </c>
      <c r="AA2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Row],[ABS]]&gt;0,CONCATENATE(AH2,Tab_CONTRATOS[[#This Row],[ABS]],Tab_CONTRATOS[[#This Row],[TXT DIA]]," para o vencimento")))),"Contrato Encerrado")</f>
        <v>Contrato Encerrado</v>
      </c>
      <c r="AB2" s="29" t="str">
        <f>IF(Tab_CONTRATOS[[#This Row],[ENCERRADO]]="Sim","Encerrado",IF(Tab_CONTRATOS[[#This Row],[DIF DIAS]]&gt;=0,"Em Execução",IF(Tab_CONTRATOS[[#This Row],[DIF DIAS]]&lt;0,"Vencido","ERRO!")))</f>
        <v>Encerrado</v>
      </c>
      <c r="AC2" s="29" t="str">
        <f>PROPER(TEXT(Tab_CONTRATOS[[#This Row],[FIM DA VIGÊNICA]],"Mmmm"))</f>
        <v>Junho</v>
      </c>
      <c r="AD2" s="29">
        <f>YEAR(Tab_CONTRATOS[[#This Row],[FIM DA VIGÊNICA]])</f>
        <v>2016</v>
      </c>
      <c r="AE2" s="30" t="str">
        <f ca="1">IF(Tab_CONTRATOS[[#This Row],[ENCERRADO]]="Sim","***",Tab_CONTRATOS[[#This Row],[FIM DA VIGÊNICA]]-TODAY())</f>
        <v>***</v>
      </c>
      <c r="AF2" s="30" t="str">
        <f>IF(Tab_CONTRATOS[[#This Row],[ENCERRADO]]="Sim","***",ABS(Tab_CONTRATOS[[#This Row],[DIF DIAS]]))</f>
        <v>***</v>
      </c>
      <c r="AG2" s="28" t="str">
        <f>IF(Tab_CONTRATOS[[#This Row],[ENCERRADO]]="Sim","***",IF(Tab_CONTRATOS[[#This Row],[DIF DIAS]]=1," dia ",IF(Tab_CONTRATOS[[#This Row],[DIF DIAS]]&lt;&gt;0," dias ")))</f>
        <v>***</v>
      </c>
      <c r="AH2" s="28" t="str">
        <f>IF(Tab_CONTRATOS[[#This Row],[ENCERRADO]]="Sim","***",IF(Tab_CONTRATOS[[#This Row],[DIF DIAS]]=1,"Falta ",IF(Tab_CONTRATOS[[#This Row],[DIF DIAS]]&lt;&gt;0,"Faltam ")))</f>
        <v>***</v>
      </c>
      <c r="AI2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2" s="20" t="s">
        <v>62</v>
      </c>
      <c r="AK2" s="20" t="s">
        <v>63</v>
      </c>
      <c r="AL2" s="20"/>
      <c r="AM2" s="31"/>
      <c r="AN2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2" s="20" t="s">
        <v>58</v>
      </c>
      <c r="AQ2" s="28">
        <f>Tab_CONTRATOS[[#This Row],[LIMITE DE MESES]]-Tab_CONTRATOS[[#This Row],[TOTAL DE MESES]]</f>
        <v>-13</v>
      </c>
      <c r="AR2" s="28"/>
      <c r="AS2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2" s="20" t="s">
        <v>64</v>
      </c>
      <c r="AU2" s="20"/>
      <c r="AV2" s="20"/>
      <c r="AW2" s="20"/>
    </row>
    <row r="3" spans="1:49" ht="42.75" customHeight="1" x14ac:dyDescent="0.25">
      <c r="A3" s="35" t="s">
        <v>65</v>
      </c>
      <c r="B3" s="19">
        <v>2011</v>
      </c>
      <c r="C3" s="20" t="s">
        <v>66</v>
      </c>
      <c r="D3" s="21" t="s">
        <v>67</v>
      </c>
      <c r="E3" s="21" t="s">
        <v>68</v>
      </c>
      <c r="F3" s="18" t="s">
        <v>53</v>
      </c>
      <c r="G3" s="18" t="s">
        <v>54</v>
      </c>
      <c r="H3" s="18" t="s">
        <v>55</v>
      </c>
      <c r="I3" s="18"/>
      <c r="J3" s="18" t="s">
        <v>56</v>
      </c>
      <c r="K3" s="18" t="s">
        <v>57</v>
      </c>
      <c r="L3" s="22">
        <f>80*50</f>
        <v>4000</v>
      </c>
      <c r="M3" s="23">
        <f>IF(Tab_CONTRATOS[[#This Row],[INSTRUMENTO]]="","",Tab_CONTRATOS[[#This Row],[VALOR MENSAL]]*12)</f>
        <v>48000</v>
      </c>
      <c r="N3" s="24">
        <v>40848</v>
      </c>
      <c r="O3" s="24">
        <v>43040</v>
      </c>
      <c r="P3" s="25" t="s">
        <v>53</v>
      </c>
      <c r="Q3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73</v>
      </c>
      <c r="R3" s="25">
        <v>36</v>
      </c>
      <c r="S3" s="18" t="s">
        <v>69</v>
      </c>
      <c r="T3" s="18" t="s">
        <v>60</v>
      </c>
      <c r="U3" s="20" t="s">
        <v>70</v>
      </c>
      <c r="V3" s="20"/>
      <c r="W3" s="27"/>
      <c r="X3" s="28" t="e">
        <f>INDEX('[1]Apoio 2'!B:B,MATCH(Tab_CONTRATOS[[#This Row],[ITEM]],'[1]Apoio 2'!A:A,0))</f>
        <v>#N/A</v>
      </c>
      <c r="Y3" s="28" t="e">
        <f>INDEX('[1]Apoio 2'!C:C,MATCH(Tab_CONTRATOS[[#This Row],[TEMA DE CUSTO]],'[1]Apoio 2'!B:B,0))</f>
        <v>#N/A</v>
      </c>
      <c r="Z3" s="28" t="e">
        <f>INDEX('[1]Apoio 2'!D:D,MATCH(Tab_CONTRATOS[[#This Row],[TEMA DE CUSTO]],'[1]Apoio 2'!B:B,0))</f>
        <v>#N/A</v>
      </c>
      <c r="AA3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Row],[ABS]]&gt;0,CONCATENATE(AH3,Tab_CONTRATOS[[#This Row],[ABS]],Tab_CONTRATOS[[#This Row],[TXT DIA]]," para o vencimento")))),"Contrato Encerrado")</f>
        <v>Faltam 155 dias  para o vencimento</v>
      </c>
      <c r="AB3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" s="29" t="str">
        <f>PROPER(TEXT(Tab_CONTRATOS[[#This Row],[FIM DA VIGÊNICA]],"Mmmm"))</f>
        <v>Novembro</v>
      </c>
      <c r="AD3" s="29">
        <f>YEAR(Tab_CONTRATOS[[#This Row],[FIM DA VIGÊNICA]])</f>
        <v>2017</v>
      </c>
      <c r="AE3" s="30">
        <f ca="1">IF(Tab_CONTRATOS[[#This Row],[ENCERRADO]]="Sim","***",Tab_CONTRATOS[[#This Row],[FIM DA VIGÊNICA]]-TODAY())</f>
        <v>155</v>
      </c>
      <c r="AF3" s="30">
        <f ca="1">IF(Tab_CONTRATOS[[#This Row],[ENCERRADO]]="Sim","***",ABS(Tab_CONTRATOS[[#This Row],[DIF DIAS]]))</f>
        <v>155</v>
      </c>
      <c r="AG3" s="28" t="str">
        <f ca="1">IF(Tab_CONTRATOS[[#This Row],[ENCERRADO]]="Sim","***",IF(Tab_CONTRATOS[[#This Row],[DIF DIAS]]=1," dia ",IF(Tab_CONTRATOS[[#This Row],[DIF DIAS]]&lt;&gt;0," dias ")))</f>
        <v xml:space="preserve"> dias </v>
      </c>
      <c r="AH3" s="28" t="str">
        <f ca="1">IF(Tab_CONTRATOS[[#This Row],[ENCERRADO]]="Sim","***",IF(Tab_CONTRATOS[[#This Row],[DIF DIAS]]=1,"Falta ",IF(Tab_CONTRATOS[[#This Row],[DIF DIAS]]&lt;&gt;0,"Faltam ")))</f>
        <v xml:space="preserve">Faltam </v>
      </c>
      <c r="AI3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" s="20" t="s">
        <v>71</v>
      </c>
      <c r="AK3" s="20" t="s">
        <v>63</v>
      </c>
      <c r="AL3" s="20"/>
      <c r="AM3" s="31"/>
      <c r="AN3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44000</v>
      </c>
      <c r="AP3" s="20" t="s">
        <v>58</v>
      </c>
      <c r="AQ3" s="28">
        <f>Tab_CONTRATOS[[#This Row],[LIMITE DE MESES]]-Tab_CONTRATOS[[#This Row],[TOTAL DE MESES]]</f>
        <v>-37</v>
      </c>
      <c r="AR3" s="28"/>
      <c r="AS3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-37 mês</v>
      </c>
      <c r="AT3" s="20" t="s">
        <v>64</v>
      </c>
      <c r="AU3" s="20"/>
      <c r="AV3" s="36" t="s">
        <v>72</v>
      </c>
      <c r="AW3" s="20"/>
    </row>
    <row r="4" spans="1:49" ht="60" customHeight="1" x14ac:dyDescent="0.25">
      <c r="A4" s="38" t="s">
        <v>73</v>
      </c>
      <c r="B4" s="19">
        <v>2012</v>
      </c>
      <c r="C4" s="20" t="s">
        <v>74</v>
      </c>
      <c r="D4" s="21" t="s">
        <v>75</v>
      </c>
      <c r="E4" s="39" t="s">
        <v>76</v>
      </c>
      <c r="F4" s="18" t="s">
        <v>53</v>
      </c>
      <c r="G4" s="18" t="s">
        <v>54</v>
      </c>
      <c r="H4" s="18" t="s">
        <v>55</v>
      </c>
      <c r="I4" s="18"/>
      <c r="J4" s="18" t="s">
        <v>56</v>
      </c>
      <c r="K4" s="18" t="s">
        <v>57</v>
      </c>
      <c r="L4" s="22">
        <v>23875</v>
      </c>
      <c r="M4" s="23">
        <f>IF(Tab_CONTRATOS[[#This Row],[INSTRUMENTO]]="","",Tab_CONTRATOS[[#This Row],[VALOR MENSAL]]*12)</f>
        <v>286500</v>
      </c>
      <c r="N4" s="24">
        <v>41214</v>
      </c>
      <c r="O4" s="24">
        <v>42995</v>
      </c>
      <c r="P4" s="25" t="s">
        <v>53</v>
      </c>
      <c r="Q4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59</v>
      </c>
      <c r="R4" s="25">
        <v>60</v>
      </c>
      <c r="S4" s="18" t="s">
        <v>77</v>
      </c>
      <c r="T4" s="18" t="s">
        <v>78</v>
      </c>
      <c r="U4" s="20" t="s">
        <v>79</v>
      </c>
      <c r="V4" s="20"/>
      <c r="W4" s="27"/>
      <c r="X4" s="28" t="e">
        <f>INDEX('[1]Apoio 2'!B:B,MATCH(Tab_CONTRATOS[[#This Row],[ITEM]],'[1]Apoio 2'!A:A,0))</f>
        <v>#N/A</v>
      </c>
      <c r="Y4" s="28" t="e">
        <f>INDEX('[1]Apoio 2'!C:C,MATCH(Tab_CONTRATOS[[#This Row],[TEMA DE CUSTO]],'[1]Apoio 2'!B:B,0))</f>
        <v>#N/A</v>
      </c>
      <c r="Z4" s="28" t="e">
        <f>INDEX('[1]Apoio 2'!D:D,MATCH(Tab_CONTRATOS[[#This Row],[TEMA DE CUSTO]],'[1]Apoio 2'!B:B,0))</f>
        <v>#N/A</v>
      </c>
      <c r="AA4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Row],[ABS]]&gt;0,CONCATENATE(AH4,Tab_CONTRATOS[[#This Row],[ABS]],Tab_CONTRATOS[[#This Row],[TXT DIA]]," para o vencimento")))),"Contrato Encerrado")</f>
        <v>Faltam 110 dias  para o vencimento</v>
      </c>
      <c r="AB4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4" s="29" t="str">
        <f>PROPER(TEXT(Tab_CONTRATOS[[#This Row],[FIM DA VIGÊNICA]],"Mmmm"))</f>
        <v>Setembro</v>
      </c>
      <c r="AD4" s="29">
        <f>YEAR(Tab_CONTRATOS[[#This Row],[FIM DA VIGÊNICA]])</f>
        <v>2017</v>
      </c>
      <c r="AE4" s="30">
        <f ca="1">IF(Tab_CONTRATOS[[#This Row],[ENCERRADO]]="Sim","***",Tab_CONTRATOS[[#This Row],[FIM DA VIGÊNICA]]-TODAY())</f>
        <v>110</v>
      </c>
      <c r="AF4" s="30">
        <f ca="1">IF(Tab_CONTRATOS[[#This Row],[ENCERRADO]]="Sim","***",ABS(Tab_CONTRATOS[[#This Row],[DIF DIAS]]))</f>
        <v>110</v>
      </c>
      <c r="AG4" s="28" t="str">
        <f ca="1">IF(Tab_CONTRATOS[[#This Row],[ENCERRADO]]="Sim","***",IF(Tab_CONTRATOS[[#This Row],[DIF DIAS]]=1," dia ",IF(Tab_CONTRATOS[[#This Row],[DIF DIAS]]&lt;&gt;0," dias ")))</f>
        <v xml:space="preserve"> dias </v>
      </c>
      <c r="AH4" s="28" t="str">
        <f ca="1">IF(Tab_CONTRATOS[[#This Row],[ENCERRADO]]="Sim","***",IF(Tab_CONTRATOS[[#This Row],[DIF DIAS]]=1,"Falta ",IF(Tab_CONTRATOS[[#This Row],[DIF DIAS]]&lt;&gt;0,"Faltam ")))</f>
        <v xml:space="preserve">Faltam </v>
      </c>
      <c r="AI4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" s="20" t="s">
        <v>62</v>
      </c>
      <c r="AK4" s="20" t="s">
        <v>63</v>
      </c>
      <c r="AL4" s="20"/>
      <c r="AM4" s="31"/>
      <c r="AN4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214875</v>
      </c>
      <c r="AP4" s="20" t="s">
        <v>58</v>
      </c>
      <c r="AQ4" s="28">
        <f>Tab_CONTRATOS[[#This Row],[LIMITE DE MESES]]-Tab_CONTRATOS[[#This Row],[TOTAL DE MESES]]</f>
        <v>1</v>
      </c>
      <c r="AR4" s="28"/>
      <c r="AS4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1 mês</v>
      </c>
      <c r="AT4" s="20" t="s">
        <v>80</v>
      </c>
      <c r="AU4" s="20"/>
      <c r="AV4" s="20"/>
      <c r="AW4" s="20"/>
    </row>
    <row r="5" spans="1:49" ht="43.5" customHeight="1" x14ac:dyDescent="0.25">
      <c r="A5" s="35" t="s">
        <v>81</v>
      </c>
      <c r="B5" s="19">
        <v>2012</v>
      </c>
      <c r="C5" s="20" t="s">
        <v>82</v>
      </c>
      <c r="D5" s="21" t="s">
        <v>83</v>
      </c>
      <c r="E5" s="21" t="s">
        <v>84</v>
      </c>
      <c r="F5" s="18" t="s">
        <v>53</v>
      </c>
      <c r="G5" s="18" t="s">
        <v>85</v>
      </c>
      <c r="H5" s="18" t="s">
        <v>86</v>
      </c>
      <c r="I5" s="18"/>
      <c r="J5" s="18" t="s">
        <v>56</v>
      </c>
      <c r="K5" s="18" t="s">
        <v>57</v>
      </c>
      <c r="L5" s="22">
        <v>5400</v>
      </c>
      <c r="M5" s="23">
        <f>IF(Tab_CONTRATOS[[#This Row],[INSTRUMENTO]]="","",Tab_CONTRATOS[[#This Row],[VALOR MENSAL]]*12)</f>
        <v>64800</v>
      </c>
      <c r="N5" s="24">
        <v>41061</v>
      </c>
      <c r="O5" s="24">
        <v>42886</v>
      </c>
      <c r="P5" s="25" t="s">
        <v>53</v>
      </c>
      <c r="Q5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60</v>
      </c>
      <c r="R5" s="25">
        <v>60</v>
      </c>
      <c r="S5" s="18" t="s">
        <v>87</v>
      </c>
      <c r="T5" s="18" t="s">
        <v>60</v>
      </c>
      <c r="U5" s="20" t="s">
        <v>88</v>
      </c>
      <c r="V5" s="20"/>
      <c r="W5" s="27"/>
      <c r="X5" s="28" t="e">
        <f>INDEX('[1]Apoio 2'!B:B,MATCH(Tab_CONTRATOS[[#This Row],[ITEM]],'[1]Apoio 2'!A:A,0))</f>
        <v>#N/A</v>
      </c>
      <c r="Y5" s="28" t="e">
        <f>INDEX('[1]Apoio 2'!C:C,MATCH(Tab_CONTRATOS[[#This Row],[TEMA DE CUSTO]],'[1]Apoio 2'!B:B,0))</f>
        <v>#N/A</v>
      </c>
      <c r="Z5" s="28" t="e">
        <f>INDEX('[1]Apoio 2'!D:D,MATCH(Tab_CONTRATOS[[#This Row],[TEMA DE CUSTO]],'[1]Apoio 2'!B:B,0))</f>
        <v>#N/A</v>
      </c>
      <c r="AA5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Row],[ABS]]&gt;0,CONCATENATE(AH5,Tab_CONTRATOS[[#This Row],[ABS]],Tab_CONTRATOS[[#This Row],[TXT DIA]]," para o vencimento")))),"Contrato Encerrado")</f>
        <v>Falta 1 dia  para o vencimento</v>
      </c>
      <c r="AB5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5" s="29" t="str">
        <f>PROPER(TEXT(Tab_CONTRATOS[[#This Row],[FIM DA VIGÊNICA]],"Mmmm"))</f>
        <v>Maio</v>
      </c>
      <c r="AD5" s="29">
        <f>YEAR(Tab_CONTRATOS[[#This Row],[FIM DA VIGÊNICA]])</f>
        <v>2017</v>
      </c>
      <c r="AE5" s="30">
        <f ca="1">IF(Tab_CONTRATOS[[#This Row],[ENCERRADO]]="Sim","***",Tab_CONTRATOS[[#This Row],[FIM DA VIGÊNICA]]-TODAY())</f>
        <v>1</v>
      </c>
      <c r="AF5" s="30">
        <f ca="1">IF(Tab_CONTRATOS[[#This Row],[ENCERRADO]]="Sim","***",ABS(Tab_CONTRATOS[[#This Row],[DIF DIAS]]))</f>
        <v>1</v>
      </c>
      <c r="AG5" s="28" t="str">
        <f ca="1">IF(Tab_CONTRATOS[[#This Row],[ENCERRADO]]="Sim","***",IF(Tab_CONTRATOS[[#This Row],[DIF DIAS]]=1," dia ",IF(Tab_CONTRATOS[[#This Row],[DIF DIAS]]&lt;&gt;0," dias ")))</f>
        <v xml:space="preserve"> dia </v>
      </c>
      <c r="AH5" s="28" t="str">
        <f ca="1">IF(Tab_CONTRATOS[[#This Row],[ENCERRADO]]="Sim","***",IF(Tab_CONTRATOS[[#This Row],[DIF DIAS]]=1,"Falta ",IF(Tab_CONTRATOS[[#This Row],[DIF DIAS]]&lt;&gt;0,"Faltam ")))</f>
        <v xml:space="preserve">Falta </v>
      </c>
      <c r="AI5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Até 30 dias</v>
      </c>
      <c r="AJ5" s="20" t="s">
        <v>71</v>
      </c>
      <c r="AK5" s="20" t="s">
        <v>63</v>
      </c>
      <c r="AL5" s="20"/>
      <c r="AM5" s="31"/>
      <c r="AN5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5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27000</v>
      </c>
      <c r="AP5" s="20" t="s">
        <v>58</v>
      </c>
      <c r="AQ5" s="28">
        <f>Tab_CONTRATOS[[#This Row],[LIMITE DE MESES]]-Tab_CONTRATOS[[#This Row],[TOTAL DE MESES]]</f>
        <v>0</v>
      </c>
      <c r="AR5" s="28"/>
      <c r="AS5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Não pode ser prorrogado - Limite 60</v>
      </c>
      <c r="AT5" s="20" t="s">
        <v>89</v>
      </c>
      <c r="AU5" s="20"/>
      <c r="AV5" s="36" t="s">
        <v>90</v>
      </c>
      <c r="AW5" s="20"/>
    </row>
    <row r="6" spans="1:49" ht="49.5" customHeight="1" x14ac:dyDescent="0.25">
      <c r="A6" s="38" t="s">
        <v>91</v>
      </c>
      <c r="B6" s="19">
        <v>2012</v>
      </c>
      <c r="C6" s="20" t="s">
        <v>92</v>
      </c>
      <c r="D6" s="21" t="s">
        <v>93</v>
      </c>
      <c r="E6" s="39" t="s">
        <v>94</v>
      </c>
      <c r="F6" s="18" t="s">
        <v>53</v>
      </c>
      <c r="G6" s="18" t="s">
        <v>95</v>
      </c>
      <c r="H6" s="18" t="s">
        <v>96</v>
      </c>
      <c r="I6" s="18"/>
      <c r="J6" s="18" t="s">
        <v>56</v>
      </c>
      <c r="K6" s="18" t="s">
        <v>57</v>
      </c>
      <c r="L6" s="22">
        <v>135497.45000000001</v>
      </c>
      <c r="M6" s="23">
        <f>IF(Tab_CONTRATOS[[#This Row],[INSTRUMENTO]]="","",Tab_CONTRATOS[[#This Row],[VALOR MENSAL]]*12)</f>
        <v>1625969.4000000001</v>
      </c>
      <c r="N6" s="40">
        <v>41214</v>
      </c>
      <c r="O6" s="40">
        <v>43038</v>
      </c>
      <c r="P6" s="25" t="s">
        <v>53</v>
      </c>
      <c r="Q6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60</v>
      </c>
      <c r="R6" s="42">
        <v>60</v>
      </c>
      <c r="S6" s="43" t="s">
        <v>97</v>
      </c>
      <c r="T6" s="18" t="s">
        <v>60</v>
      </c>
      <c r="U6" s="20" t="s">
        <v>98</v>
      </c>
      <c r="V6" s="20"/>
      <c r="W6" s="27"/>
      <c r="X6" s="28" t="e">
        <f>INDEX('[1]Apoio 2'!B:B,MATCH(Tab_CONTRATOS[[#This Row],[ITEM]],'[1]Apoio 2'!A:A,0))</f>
        <v>#N/A</v>
      </c>
      <c r="Y6" s="28" t="e">
        <f>INDEX('[1]Apoio 2'!C:C,MATCH(Tab_CONTRATOS[[#This Row],[TEMA DE CUSTO]],'[1]Apoio 2'!B:B,0))</f>
        <v>#N/A</v>
      </c>
      <c r="Z6" s="28" t="e">
        <f>INDEX('[1]Apoio 2'!D:D,MATCH(Tab_CONTRATOS[[#This Row],[TEMA DE CUSTO]],'[1]Apoio 2'!B:B,0))</f>
        <v>#N/A</v>
      </c>
      <c r="AA6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Row],[ABS]]&gt;0,CONCATENATE(AH6,Tab_CONTRATOS[[#This Row],[ABS]],Tab_CONTRATOS[[#This Row],[TXT DIA]]," para o vencimento")))),"Contrato Encerrado")</f>
        <v>Faltam 153 dias  para o vencimento</v>
      </c>
      <c r="AB6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6" s="29" t="str">
        <f>PROPER(TEXT(Tab_CONTRATOS[[#This Row],[FIM DA VIGÊNICA]],"Mmmm"))</f>
        <v>Outubro</v>
      </c>
      <c r="AD6" s="29">
        <f>YEAR(Tab_CONTRATOS[[#This Row],[FIM DA VIGÊNICA]])</f>
        <v>2017</v>
      </c>
      <c r="AE6" s="44">
        <f ca="1">IF(Tab_CONTRATOS[[#This Row],[ENCERRADO]]="Sim","***",Tab_CONTRATOS[[#This Row],[FIM DA VIGÊNICA]]-TODAY())</f>
        <v>153</v>
      </c>
      <c r="AF6" s="30">
        <f ca="1">IF(Tab_CONTRATOS[[#This Row],[ENCERRADO]]="Sim","***",ABS(Tab_CONTRATOS[[#This Row],[DIF DIAS]]))</f>
        <v>153</v>
      </c>
      <c r="AG6" s="28" t="str">
        <f ca="1">IF(Tab_CONTRATOS[[#This Row],[ENCERRADO]]="Sim","***",IF(Tab_CONTRATOS[[#This Row],[DIF DIAS]]=1," dia ",IF(Tab_CONTRATOS[[#This Row],[DIF DIAS]]&lt;&gt;0," dias ")))</f>
        <v xml:space="preserve"> dias </v>
      </c>
      <c r="AH6" s="28" t="str">
        <f ca="1">IF(Tab_CONTRATOS[[#This Row],[ENCERRADO]]="Sim","***",IF(Tab_CONTRATOS[[#This Row],[DIF DIAS]]=1,"Falta ",IF(Tab_CONTRATOS[[#This Row],[DIF DIAS]]&lt;&gt;0,"Faltam ")))</f>
        <v xml:space="preserve">Faltam </v>
      </c>
      <c r="AI6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6" s="20" t="s">
        <v>62</v>
      </c>
      <c r="AK6" s="20" t="s">
        <v>99</v>
      </c>
      <c r="AL6" s="20"/>
      <c r="AM6" s="31"/>
      <c r="AN6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6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1354974.5</v>
      </c>
      <c r="AP6" s="20" t="s">
        <v>58</v>
      </c>
      <c r="AQ6" s="28">
        <f>Tab_CONTRATOS[[#This Row],[LIMITE DE MESES]]-Tab_CONTRATOS[[#This Row],[TOTAL DE MESES]]</f>
        <v>0</v>
      </c>
      <c r="AR6" s="28"/>
      <c r="AS6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Não pode ser prorrogado - Limite 60</v>
      </c>
      <c r="AT6" s="20" t="s">
        <v>100</v>
      </c>
      <c r="AU6" s="20"/>
      <c r="AV6" s="36" t="s">
        <v>101</v>
      </c>
      <c r="AW6" s="20"/>
    </row>
    <row r="7" spans="1:49" ht="74.25" hidden="1" customHeight="1" x14ac:dyDescent="0.25">
      <c r="A7" s="18" t="s">
        <v>102</v>
      </c>
      <c r="B7" s="19">
        <v>2012</v>
      </c>
      <c r="C7" s="20" t="s">
        <v>103</v>
      </c>
      <c r="D7" s="21" t="s">
        <v>104</v>
      </c>
      <c r="E7" s="39" t="s">
        <v>105</v>
      </c>
      <c r="F7" s="18" t="s">
        <v>53</v>
      </c>
      <c r="G7" s="18" t="s">
        <v>95</v>
      </c>
      <c r="H7" s="18" t="s">
        <v>96</v>
      </c>
      <c r="I7" s="18"/>
      <c r="J7" s="18" t="s">
        <v>56</v>
      </c>
      <c r="K7" s="18" t="s">
        <v>106</v>
      </c>
      <c r="L7" s="22">
        <v>33690</v>
      </c>
      <c r="M7" s="23">
        <f>IF(Tab_CONTRATOS[[#This Row],[INSTRUMENTO]]="","",Tab_CONTRATOS[[#This Row],[VALOR MENSAL]]*12)</f>
        <v>404280</v>
      </c>
      <c r="N7" s="24">
        <v>41031</v>
      </c>
      <c r="O7" s="24">
        <v>42492</v>
      </c>
      <c r="P7" s="25" t="s">
        <v>58</v>
      </c>
      <c r="Q7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48</v>
      </c>
      <c r="R7" s="25">
        <v>60</v>
      </c>
      <c r="S7" s="43" t="s">
        <v>107</v>
      </c>
      <c r="T7" s="18" t="s">
        <v>78</v>
      </c>
      <c r="U7" s="20" t="s">
        <v>108</v>
      </c>
      <c r="V7" s="20"/>
      <c r="W7" s="27"/>
      <c r="X7" s="28" t="e">
        <f>INDEX('[1]Apoio 2'!B:B,MATCH(Tab_CONTRATOS[[#This Row],[ITEM]],'[1]Apoio 2'!A:A,0))</f>
        <v>#N/A</v>
      </c>
      <c r="Y7" s="28" t="e">
        <f>INDEX('[1]Apoio 2'!C:C,MATCH(Tab_CONTRATOS[[#This Row],[TEMA DE CUSTO]],'[1]Apoio 2'!B:B,0))</f>
        <v>#N/A</v>
      </c>
      <c r="Z7" s="28" t="e">
        <f>INDEX('[1]Apoio 2'!D:D,MATCH(Tab_CONTRATOS[[#This Row],[TEMA DE CUSTO]],'[1]Apoio 2'!B:B,0))</f>
        <v>#N/A</v>
      </c>
      <c r="AA7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Row],[ABS]]&gt;0,CONCATENATE(AH7,Tab_CONTRATOS[[#This Row],[ABS]],Tab_CONTRATOS[[#This Row],[TXT DIA]]," para o vencimento")))),"Contrato Encerrado")</f>
        <v>Contrato Encerrado</v>
      </c>
      <c r="AB7" s="29" t="str">
        <f>IF(Tab_CONTRATOS[[#This Row],[ENCERRADO]]="Sim","Encerrado",IF(Tab_CONTRATOS[[#This Row],[DIF DIAS]]&gt;=0,"Em Execução",IF(Tab_CONTRATOS[[#This Row],[DIF DIAS]]&lt;0,"Vencido","ERRO!")))</f>
        <v>Encerrado</v>
      </c>
      <c r="AC7" s="29" t="str">
        <f>PROPER(TEXT(Tab_CONTRATOS[[#This Row],[FIM DA VIGÊNICA]],"Mmmm"))</f>
        <v>Maio</v>
      </c>
      <c r="AD7" s="29">
        <f>YEAR(Tab_CONTRATOS[[#This Row],[FIM DA VIGÊNICA]])</f>
        <v>2016</v>
      </c>
      <c r="AE7" s="30" t="str">
        <f ca="1">IF(Tab_CONTRATOS[[#This Row],[ENCERRADO]]="Sim","***",Tab_CONTRATOS[[#This Row],[FIM DA VIGÊNICA]]-TODAY())</f>
        <v>***</v>
      </c>
      <c r="AF7" s="30" t="str">
        <f>IF(Tab_CONTRATOS[[#This Row],[ENCERRADO]]="Sim","***",ABS(Tab_CONTRATOS[[#This Row],[DIF DIAS]]))</f>
        <v>***</v>
      </c>
      <c r="AG7" s="28" t="str">
        <f>IF(Tab_CONTRATOS[[#This Row],[ENCERRADO]]="Sim","***",IF(Tab_CONTRATOS[[#This Row],[DIF DIAS]]=1," dia ",IF(Tab_CONTRATOS[[#This Row],[DIF DIAS]]&lt;&gt;0," dias ")))</f>
        <v>***</v>
      </c>
      <c r="AH7" s="28" t="str">
        <f>IF(Tab_CONTRATOS[[#This Row],[ENCERRADO]]="Sim","***",IF(Tab_CONTRATOS[[#This Row],[DIF DIAS]]=1,"Falta ",IF(Tab_CONTRATOS[[#This Row],[DIF DIAS]]&lt;&gt;0,"Faltam ")))</f>
        <v>***</v>
      </c>
      <c r="AI7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7" s="20" t="s">
        <v>62</v>
      </c>
      <c r="AK7" s="20" t="s">
        <v>109</v>
      </c>
      <c r="AL7" s="20"/>
      <c r="AM7" s="31"/>
      <c r="AN7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7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7" s="20" t="s">
        <v>58</v>
      </c>
      <c r="AQ7" s="28">
        <f>Tab_CONTRATOS[[#This Row],[LIMITE DE MESES]]-Tab_CONTRATOS[[#This Row],[TOTAL DE MESES]]</f>
        <v>12</v>
      </c>
      <c r="AR7" s="28"/>
      <c r="AS7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7" s="20" t="s">
        <v>110</v>
      </c>
      <c r="AU7" s="20"/>
      <c r="AV7" s="20"/>
      <c r="AW7" s="20"/>
    </row>
    <row r="8" spans="1:49" ht="120" hidden="1" x14ac:dyDescent="0.25">
      <c r="A8" s="18" t="s">
        <v>111</v>
      </c>
      <c r="B8" s="19">
        <v>2012</v>
      </c>
      <c r="C8" s="20" t="s">
        <v>112</v>
      </c>
      <c r="D8" s="21" t="s">
        <v>113</v>
      </c>
      <c r="E8" s="21" t="s">
        <v>114</v>
      </c>
      <c r="F8" s="18" t="s">
        <v>58</v>
      </c>
      <c r="G8" s="18" t="s">
        <v>115</v>
      </c>
      <c r="H8" s="18" t="s">
        <v>116</v>
      </c>
      <c r="I8" s="18"/>
      <c r="J8" s="18" t="s">
        <v>117</v>
      </c>
      <c r="K8" s="18" t="s">
        <v>57</v>
      </c>
      <c r="L8" s="22"/>
      <c r="M8" s="23">
        <f>IF(Tab_CONTRATOS[[#This Row],[INSTRUMENTO]]="","",Tab_CONTRATOS[[#This Row],[VALOR MENSAL]]*12)</f>
        <v>0</v>
      </c>
      <c r="N8" s="40">
        <v>41122</v>
      </c>
      <c r="O8" s="40">
        <v>42584</v>
      </c>
      <c r="P8" s="25" t="s">
        <v>58</v>
      </c>
      <c r="Q8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48</v>
      </c>
      <c r="R8" s="42">
        <v>60</v>
      </c>
      <c r="S8" s="43" t="s">
        <v>118</v>
      </c>
      <c r="T8" s="18" t="s">
        <v>60</v>
      </c>
      <c r="U8" s="20"/>
      <c r="V8" s="20"/>
      <c r="W8" s="27"/>
      <c r="X8" s="28" t="e">
        <f>INDEX('[1]Apoio 2'!B:B,MATCH(Tab_CONTRATOS[[#This Row],[ITEM]],'[1]Apoio 2'!A:A,0))</f>
        <v>#N/A</v>
      </c>
      <c r="Y8" s="28" t="e">
        <f>INDEX('[1]Apoio 2'!C:C,MATCH(Tab_CONTRATOS[[#This Row],[TEMA DE CUSTO]],'[1]Apoio 2'!B:B,0))</f>
        <v>#N/A</v>
      </c>
      <c r="Z8" s="28" t="e">
        <f>INDEX('[1]Apoio 2'!D:D,MATCH(Tab_CONTRATOS[[#This Row],[TEMA DE CUSTO]],'[1]Apoio 2'!B:B,0))</f>
        <v>#N/A</v>
      </c>
      <c r="AA8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Row],[ABS]]&gt;0,CONCATENATE(AH8,Tab_CONTRATOS[[#This Row],[ABS]],Tab_CONTRATOS[[#This Row],[TXT DIA]]," para o vencimento")))),"Contrato Encerrado")</f>
        <v>Contrato Encerrado</v>
      </c>
      <c r="AB8" s="29" t="str">
        <f>IF(Tab_CONTRATOS[[#This Row],[ENCERRADO]]="Sim","Encerrado",IF(Tab_CONTRATOS[[#This Row],[DIF DIAS]]&gt;=0,"Em Execução",IF(Tab_CONTRATOS[[#This Row],[DIF DIAS]]&lt;0,"Vencido","ERRO!")))</f>
        <v>Encerrado</v>
      </c>
      <c r="AC8" s="29" t="str">
        <f>PROPER(TEXT(Tab_CONTRATOS[[#This Row],[FIM DA VIGÊNICA]],"Mmmm"))</f>
        <v>Agosto</v>
      </c>
      <c r="AD8" s="29">
        <f>YEAR(Tab_CONTRATOS[[#This Row],[FIM DA VIGÊNICA]])</f>
        <v>2016</v>
      </c>
      <c r="AE8" s="44" t="str">
        <f ca="1">IF(Tab_CONTRATOS[[#This Row],[ENCERRADO]]="Sim","***",Tab_CONTRATOS[[#This Row],[FIM DA VIGÊNICA]]-TODAY())</f>
        <v>***</v>
      </c>
      <c r="AF8" s="30" t="str">
        <f>IF(Tab_CONTRATOS[[#This Row],[ENCERRADO]]="Sim","***",ABS(Tab_CONTRATOS[[#This Row],[DIF DIAS]]))</f>
        <v>***</v>
      </c>
      <c r="AG8" s="28" t="str">
        <f>IF(Tab_CONTRATOS[[#This Row],[ENCERRADO]]="Sim","***",IF(Tab_CONTRATOS[[#This Row],[DIF DIAS]]=1," dia ",IF(Tab_CONTRATOS[[#This Row],[DIF DIAS]]&lt;&gt;0," dias ")))</f>
        <v>***</v>
      </c>
      <c r="AH8" s="28" t="str">
        <f>IF(Tab_CONTRATOS[[#This Row],[ENCERRADO]]="Sim","***",IF(Tab_CONTRATOS[[#This Row],[DIF DIAS]]=1,"Falta ",IF(Tab_CONTRATOS[[#This Row],[DIF DIAS]]&lt;&gt;0,"Faltam ")))</f>
        <v>***</v>
      </c>
      <c r="AI8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8" s="45" t="s">
        <v>62</v>
      </c>
      <c r="AK8" s="20" t="s">
        <v>119</v>
      </c>
      <c r="AL8" s="20"/>
      <c r="AM8" s="31"/>
      <c r="AN8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8" s="46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8" s="20" t="s">
        <v>58</v>
      </c>
      <c r="AQ8" s="28">
        <f>Tab_CONTRATOS[[#This Row],[LIMITE DE MESES]]-Tab_CONTRATOS[[#This Row],[TOTAL DE MESES]]</f>
        <v>12</v>
      </c>
      <c r="AR8" s="28"/>
      <c r="AS8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8" s="20" t="s">
        <v>120</v>
      </c>
      <c r="AU8" s="20"/>
      <c r="AV8" s="20" t="s">
        <v>121</v>
      </c>
      <c r="AW8" s="20"/>
    </row>
    <row r="9" spans="1:49" ht="47.25" customHeight="1" x14ac:dyDescent="0.25">
      <c r="A9" s="35" t="s">
        <v>122</v>
      </c>
      <c r="B9" s="19">
        <v>2013</v>
      </c>
      <c r="C9" s="20" t="s">
        <v>123</v>
      </c>
      <c r="D9" s="21" t="s">
        <v>124</v>
      </c>
      <c r="E9" s="39" t="s">
        <v>68</v>
      </c>
      <c r="F9" s="18" t="s">
        <v>53</v>
      </c>
      <c r="G9" s="18" t="s">
        <v>54</v>
      </c>
      <c r="H9" s="18" t="s">
        <v>55</v>
      </c>
      <c r="I9" s="18"/>
      <c r="J9" s="18" t="s">
        <v>56</v>
      </c>
      <c r="K9" s="18" t="s">
        <v>57</v>
      </c>
      <c r="L9" s="22">
        <f>90*96.29</f>
        <v>8666.1</v>
      </c>
      <c r="M9" s="23">
        <f>IF(Tab_CONTRATOS[[#This Row],[INSTRUMENTO]]="","",Tab_CONTRATOS[[#This Row],[VALOR MENSAL]]*12)</f>
        <v>103993.20000000001</v>
      </c>
      <c r="N9" s="24">
        <v>41519</v>
      </c>
      <c r="O9" s="24">
        <v>42980</v>
      </c>
      <c r="P9" s="25" t="s">
        <v>53</v>
      </c>
      <c r="Q9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48</v>
      </c>
      <c r="R9" s="25">
        <v>36</v>
      </c>
      <c r="S9" s="43" t="s">
        <v>125</v>
      </c>
      <c r="T9" s="18" t="s">
        <v>60</v>
      </c>
      <c r="U9" s="20" t="s">
        <v>126</v>
      </c>
      <c r="V9" s="20"/>
      <c r="W9" s="27"/>
      <c r="X9" s="28" t="e">
        <f>INDEX('[1]Apoio 2'!B:B,MATCH(Tab_CONTRATOS[[#This Row],[ITEM]],'[1]Apoio 2'!A:A,0))</f>
        <v>#N/A</v>
      </c>
      <c r="Y9" s="28" t="e">
        <f>INDEX('[1]Apoio 2'!C:C,MATCH(Tab_CONTRATOS[[#This Row],[TEMA DE CUSTO]],'[1]Apoio 2'!B:B,0))</f>
        <v>#N/A</v>
      </c>
      <c r="Z9" s="28" t="e">
        <f>INDEX('[1]Apoio 2'!D:D,MATCH(Tab_CONTRATOS[[#This Row],[TEMA DE CUSTO]],'[1]Apoio 2'!B:B,0))</f>
        <v>#N/A</v>
      </c>
      <c r="AA9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Row],[ABS]]&gt;0,CONCATENATE(AH9,Tab_CONTRATOS[[#This Row],[ABS]],Tab_CONTRATOS[[#This Row],[TXT DIA]]," para o vencimento")))),"Contrato Encerrado")</f>
        <v>Faltam 95 dias  para o vencimento</v>
      </c>
      <c r="AB9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9" s="29" t="str">
        <f>PROPER(TEXT(Tab_CONTRATOS[[#This Row],[FIM DA VIGÊNICA]],"Mmmm"))</f>
        <v>Setembro</v>
      </c>
      <c r="AD9" s="29">
        <f>YEAR(Tab_CONTRATOS[[#This Row],[FIM DA VIGÊNICA]])</f>
        <v>2017</v>
      </c>
      <c r="AE9" s="30">
        <f ca="1">IF(Tab_CONTRATOS[[#This Row],[ENCERRADO]]="Sim","***",Tab_CONTRATOS[[#This Row],[FIM DA VIGÊNICA]]-TODAY())</f>
        <v>95</v>
      </c>
      <c r="AF9" s="30">
        <f ca="1">IF(Tab_CONTRATOS[[#This Row],[ENCERRADO]]="Sim","***",ABS(Tab_CONTRATOS[[#This Row],[DIF DIAS]]))</f>
        <v>95</v>
      </c>
      <c r="AG9" s="28" t="str">
        <f ca="1">IF(Tab_CONTRATOS[[#This Row],[ENCERRADO]]="Sim","***",IF(Tab_CONTRATOS[[#This Row],[DIF DIAS]]=1," dia ",IF(Tab_CONTRATOS[[#This Row],[DIF DIAS]]&lt;&gt;0," dias ")))</f>
        <v xml:space="preserve"> dias </v>
      </c>
      <c r="AH9" s="28" t="str">
        <f ca="1">IF(Tab_CONTRATOS[[#This Row],[ENCERRADO]]="Sim","***",IF(Tab_CONTRATOS[[#This Row],[DIF DIAS]]=1,"Falta ",IF(Tab_CONTRATOS[[#This Row],[DIF DIAS]]&lt;&gt;0,"Faltam ")))</f>
        <v xml:space="preserve">Faltam </v>
      </c>
      <c r="AI9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9" s="20" t="s">
        <v>71</v>
      </c>
      <c r="AK9" s="20" t="s">
        <v>63</v>
      </c>
      <c r="AL9" s="20"/>
      <c r="AM9" s="31"/>
      <c r="AN9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9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77994.900000000009</v>
      </c>
      <c r="AP9" s="20" t="s">
        <v>58</v>
      </c>
      <c r="AQ9" s="28">
        <f>Tab_CONTRATOS[[#This Row],[LIMITE DE MESES]]-Tab_CONTRATOS[[#This Row],[TOTAL DE MESES]]</f>
        <v>-12</v>
      </c>
      <c r="AR9" s="28"/>
      <c r="AS9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-12 mês</v>
      </c>
      <c r="AT9" s="20" t="s">
        <v>127</v>
      </c>
      <c r="AU9" s="20"/>
      <c r="AV9" s="36" t="s">
        <v>128</v>
      </c>
      <c r="AW9" s="20"/>
    </row>
    <row r="10" spans="1:49" ht="49.5" customHeight="1" x14ac:dyDescent="0.25">
      <c r="A10" s="38" t="s">
        <v>129</v>
      </c>
      <c r="B10" s="19">
        <v>2013</v>
      </c>
      <c r="C10" s="20" t="s">
        <v>130</v>
      </c>
      <c r="D10" s="21" t="s">
        <v>131</v>
      </c>
      <c r="E10" s="39" t="s">
        <v>132</v>
      </c>
      <c r="F10" s="18" t="s">
        <v>53</v>
      </c>
      <c r="G10" s="18" t="s">
        <v>54</v>
      </c>
      <c r="H10" s="18" t="s">
        <v>55</v>
      </c>
      <c r="I10" s="18"/>
      <c r="J10" s="18" t="s">
        <v>56</v>
      </c>
      <c r="K10" s="18" t="s">
        <v>57</v>
      </c>
      <c r="L10" s="22">
        <f>129.08*30</f>
        <v>3872.4000000000005</v>
      </c>
      <c r="M10" s="23">
        <f>IF(Tab_CONTRATOS[[#This Row],[INSTRUMENTO]]="","",Tab_CONTRATOS[[#This Row],[VALOR MENSAL]]*12)</f>
        <v>46468.800000000003</v>
      </c>
      <c r="N10" s="24">
        <v>41519</v>
      </c>
      <c r="O10" s="24">
        <v>42981</v>
      </c>
      <c r="P10" s="25" t="s">
        <v>53</v>
      </c>
      <c r="Q10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48</v>
      </c>
      <c r="R10" s="25">
        <v>36</v>
      </c>
      <c r="S10" s="43" t="s">
        <v>133</v>
      </c>
      <c r="T10" s="18" t="s">
        <v>60</v>
      </c>
      <c r="U10" s="20" t="s">
        <v>126</v>
      </c>
      <c r="V10" s="20"/>
      <c r="W10" s="27"/>
      <c r="X10" s="28" t="e">
        <f>INDEX('[1]Apoio 2'!B:B,MATCH(Tab_CONTRATOS[[#This Row],[ITEM]],'[1]Apoio 2'!A:A,0))</f>
        <v>#N/A</v>
      </c>
      <c r="Y10" s="28" t="e">
        <f>INDEX('[1]Apoio 2'!C:C,MATCH(Tab_CONTRATOS[[#This Row],[TEMA DE CUSTO]],'[1]Apoio 2'!B:B,0))</f>
        <v>#N/A</v>
      </c>
      <c r="Z10" s="28" t="e">
        <f>INDEX('[1]Apoio 2'!D:D,MATCH(Tab_CONTRATOS[[#This Row],[TEMA DE CUSTO]],'[1]Apoio 2'!B:B,0))</f>
        <v>#N/A</v>
      </c>
      <c r="AA10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Row],[ABS]]&gt;0,CONCATENATE(AH10,Tab_CONTRATOS[[#This Row],[ABS]],Tab_CONTRATOS[[#This Row],[TXT DIA]]," para o vencimento")))),"Contrato Encerrado")</f>
        <v>Faltam 96 dias  para o vencimento</v>
      </c>
      <c r="AB10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0" s="29" t="str">
        <f>PROPER(TEXT(Tab_CONTRATOS[[#This Row],[FIM DA VIGÊNICA]],"Mmmm"))</f>
        <v>Setembro</v>
      </c>
      <c r="AD10" s="29">
        <f>YEAR(Tab_CONTRATOS[[#This Row],[FIM DA VIGÊNICA]])</f>
        <v>2017</v>
      </c>
      <c r="AE10" s="30">
        <f ca="1">IF(Tab_CONTRATOS[[#This Row],[ENCERRADO]]="Sim","***",Tab_CONTRATOS[[#This Row],[FIM DA VIGÊNICA]]-TODAY())</f>
        <v>96</v>
      </c>
      <c r="AF10" s="30">
        <f ca="1">IF(Tab_CONTRATOS[[#This Row],[ENCERRADO]]="Sim","***",ABS(Tab_CONTRATOS[[#This Row],[DIF DIAS]]))</f>
        <v>96</v>
      </c>
      <c r="AG10" s="28" t="str">
        <f ca="1">IF(Tab_CONTRATOS[[#This Row],[ENCERRADO]]="Sim","***",IF(Tab_CONTRATOS[[#This Row],[DIF DIAS]]=1," dia ",IF(Tab_CONTRATOS[[#This Row],[DIF DIAS]]&lt;&gt;0," dias ")))</f>
        <v xml:space="preserve"> dias </v>
      </c>
      <c r="AH10" s="28" t="str">
        <f ca="1">IF(Tab_CONTRATOS[[#This Row],[ENCERRADO]]="Sim","***",IF(Tab_CONTRATOS[[#This Row],[DIF DIAS]]=1,"Falta ",IF(Tab_CONTRATOS[[#This Row],[DIF DIAS]]&lt;&gt;0,"Faltam ")))</f>
        <v xml:space="preserve">Faltam </v>
      </c>
      <c r="AI10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10" s="20" t="s">
        <v>71</v>
      </c>
      <c r="AK10" s="20" t="s">
        <v>63</v>
      </c>
      <c r="AL10" s="20"/>
      <c r="AM10" s="31"/>
      <c r="AN10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10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34851.600000000006</v>
      </c>
      <c r="AP10" s="20" t="s">
        <v>58</v>
      </c>
      <c r="AQ10" s="28">
        <f>Tab_CONTRATOS[[#This Row],[LIMITE DE MESES]]-Tab_CONTRATOS[[#This Row],[TOTAL DE MESES]]</f>
        <v>-12</v>
      </c>
      <c r="AR10" s="28"/>
      <c r="AS10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-12 mês</v>
      </c>
      <c r="AT10" s="20" t="s">
        <v>134</v>
      </c>
      <c r="AU10" s="20"/>
      <c r="AV10" s="36" t="s">
        <v>135</v>
      </c>
      <c r="AW10" s="20"/>
    </row>
    <row r="11" spans="1:49" ht="39" customHeight="1" x14ac:dyDescent="0.25">
      <c r="A11" s="35" t="s">
        <v>136</v>
      </c>
      <c r="B11" s="19">
        <v>2013</v>
      </c>
      <c r="C11" s="20" t="s">
        <v>137</v>
      </c>
      <c r="D11" s="21" t="s">
        <v>138</v>
      </c>
      <c r="E11" s="39" t="s">
        <v>139</v>
      </c>
      <c r="F11" s="18" t="s">
        <v>58</v>
      </c>
      <c r="G11" s="18" t="s">
        <v>95</v>
      </c>
      <c r="H11" s="18" t="s">
        <v>96</v>
      </c>
      <c r="I11" s="18"/>
      <c r="J11" s="18" t="s">
        <v>56</v>
      </c>
      <c r="K11" s="18" t="s">
        <v>106</v>
      </c>
      <c r="L11" s="22">
        <v>148422.01999999999</v>
      </c>
      <c r="M11" s="23">
        <f>IF(Tab_CONTRATOS[[#This Row],[INSTRUMENTO]]="","",Tab_CONTRATOS[[#This Row],[VALOR MENSAL]]*12)</f>
        <v>1781064.2399999998</v>
      </c>
      <c r="N11" s="24">
        <v>41548</v>
      </c>
      <c r="O11" s="24">
        <v>43008</v>
      </c>
      <c r="P11" s="25" t="s">
        <v>53</v>
      </c>
      <c r="Q11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48</v>
      </c>
      <c r="R11" s="25">
        <v>60</v>
      </c>
      <c r="S11" s="43" t="s">
        <v>140</v>
      </c>
      <c r="T11" s="18" t="s">
        <v>60</v>
      </c>
      <c r="U11" s="20" t="s">
        <v>141</v>
      </c>
      <c r="V11" s="20"/>
      <c r="W11" s="27"/>
      <c r="X11" s="28" t="e">
        <f>INDEX('[1]Apoio 2'!B:B,MATCH(Tab_CONTRATOS[[#This Row],[ITEM]],'[1]Apoio 2'!A:A,0))</f>
        <v>#N/A</v>
      </c>
      <c r="Y11" s="28" t="e">
        <f>INDEX('[1]Apoio 2'!C:C,MATCH(Tab_CONTRATOS[[#This Row],[TEMA DE CUSTO]],'[1]Apoio 2'!B:B,0))</f>
        <v>#N/A</v>
      </c>
      <c r="Z11" s="28" t="e">
        <f>INDEX('[1]Apoio 2'!D:D,MATCH(Tab_CONTRATOS[[#This Row],[TEMA DE CUSTO]],'[1]Apoio 2'!B:B,0))</f>
        <v>#N/A</v>
      </c>
      <c r="AA11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Row],[ABS]]&gt;0,CONCATENATE(AH11,Tab_CONTRATOS[[#This Row],[ABS]],Tab_CONTRATOS[[#This Row],[TXT DIA]]," para o vencimento")))),"Contrato Encerrado")</f>
        <v>Faltam 123 dias  para o vencimento</v>
      </c>
      <c r="AB11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1" s="29" t="str">
        <f>PROPER(TEXT(Tab_CONTRATOS[[#This Row],[FIM DA VIGÊNICA]],"Mmmm"))</f>
        <v>Setembro</v>
      </c>
      <c r="AD11" s="29">
        <f>YEAR(Tab_CONTRATOS[[#This Row],[FIM DA VIGÊNICA]])</f>
        <v>2017</v>
      </c>
      <c r="AE11" s="30">
        <f ca="1">IF(Tab_CONTRATOS[[#This Row],[ENCERRADO]]="Sim","***",Tab_CONTRATOS[[#This Row],[FIM DA VIGÊNICA]]-TODAY())</f>
        <v>123</v>
      </c>
      <c r="AF11" s="30">
        <f ca="1">IF(Tab_CONTRATOS[[#This Row],[ENCERRADO]]="Sim","***",ABS(Tab_CONTRATOS[[#This Row],[DIF DIAS]]))</f>
        <v>123</v>
      </c>
      <c r="AG11" s="28" t="str">
        <f ca="1">IF(Tab_CONTRATOS[[#This Row],[ENCERRADO]]="Sim","***",IF(Tab_CONTRATOS[[#This Row],[DIF DIAS]]=1," dia ",IF(Tab_CONTRATOS[[#This Row],[DIF DIAS]]&lt;&gt;0," dias ")))</f>
        <v xml:space="preserve"> dias </v>
      </c>
      <c r="AH11" s="28" t="str">
        <f ca="1">IF(Tab_CONTRATOS[[#This Row],[ENCERRADO]]="Sim","***",IF(Tab_CONTRATOS[[#This Row],[DIF DIAS]]=1,"Falta ",IF(Tab_CONTRATOS[[#This Row],[DIF DIAS]]&lt;&gt;0,"Faltam ")))</f>
        <v xml:space="preserve">Faltam </v>
      </c>
      <c r="AI11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11" s="20" t="s">
        <v>62</v>
      </c>
      <c r="AK11" s="20" t="s">
        <v>142</v>
      </c>
      <c r="AL11" s="20" t="s">
        <v>143</v>
      </c>
      <c r="AM11" s="31">
        <v>41541</v>
      </c>
      <c r="AN11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Outubro</v>
      </c>
      <c r="AO11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1335798.18</v>
      </c>
      <c r="AP11" s="20" t="s">
        <v>58</v>
      </c>
      <c r="AQ11" s="28">
        <f>Tab_CONTRATOS[[#This Row],[LIMITE DE MESES]]-Tab_CONTRATOS[[#This Row],[TOTAL DE MESES]]</f>
        <v>12</v>
      </c>
      <c r="AR11" s="28"/>
      <c r="AS11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12 meses</v>
      </c>
      <c r="AT11" s="20" t="s">
        <v>144</v>
      </c>
      <c r="AU11" s="20"/>
      <c r="AV11" s="20"/>
      <c r="AW11" s="20"/>
    </row>
    <row r="12" spans="1:49" ht="51" customHeight="1" x14ac:dyDescent="0.25">
      <c r="A12" s="38" t="s">
        <v>145</v>
      </c>
      <c r="B12" s="19">
        <v>2014</v>
      </c>
      <c r="C12" s="20" t="s">
        <v>146</v>
      </c>
      <c r="D12" s="21" t="s">
        <v>147</v>
      </c>
      <c r="E12" s="39" t="s">
        <v>148</v>
      </c>
      <c r="F12" s="18" t="s">
        <v>53</v>
      </c>
      <c r="G12" s="18" t="s">
        <v>54</v>
      </c>
      <c r="H12" s="18" t="s">
        <v>149</v>
      </c>
      <c r="I12" s="18"/>
      <c r="J12" s="18" t="s">
        <v>56</v>
      </c>
      <c r="K12" s="18" t="s">
        <v>57</v>
      </c>
      <c r="L12" s="22">
        <f>1540.5*3</f>
        <v>4621.5</v>
      </c>
      <c r="M12" s="23">
        <f>IF(Tab_CONTRATOS[[#This Row],[INSTRUMENTO]]="","",Tab_CONTRATOS[[#This Row],[VALOR MENSAL]]*12)</f>
        <v>55458</v>
      </c>
      <c r="N12" s="24">
        <v>41822</v>
      </c>
      <c r="O12" s="24">
        <v>42917</v>
      </c>
      <c r="P12" s="25" t="s">
        <v>53</v>
      </c>
      <c r="Q12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36</v>
      </c>
      <c r="R12" s="25">
        <v>60</v>
      </c>
      <c r="S12" s="18" t="s">
        <v>150</v>
      </c>
      <c r="T12" s="18" t="s">
        <v>60</v>
      </c>
      <c r="U12" s="20" t="s">
        <v>151</v>
      </c>
      <c r="V12" s="20"/>
      <c r="W12" s="27"/>
      <c r="X12" s="28" t="e">
        <f>INDEX('[1]Apoio 2'!B:B,MATCH(Tab_CONTRATOS[[#This Row],[ITEM]],'[1]Apoio 2'!A:A,0))</f>
        <v>#N/A</v>
      </c>
      <c r="Y12" s="28" t="e">
        <f>INDEX('[1]Apoio 2'!C:C,MATCH(Tab_CONTRATOS[[#This Row],[TEMA DE CUSTO]],'[1]Apoio 2'!B:B,0))</f>
        <v>#N/A</v>
      </c>
      <c r="Z12" s="28" t="e">
        <f>INDEX('[1]Apoio 2'!D:D,MATCH(Tab_CONTRATOS[[#This Row],[TEMA DE CUSTO]],'[1]Apoio 2'!B:B,0))</f>
        <v>#N/A</v>
      </c>
      <c r="AA12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Row],[ABS]]&gt;0,CONCATENATE(AH12,Tab_CONTRATOS[[#This Row],[ABS]],Tab_CONTRATOS[[#This Row],[TXT DIA]]," para o vencimento")))),"Contrato Encerrado")</f>
        <v>Faltam 32 dias  para o vencimento</v>
      </c>
      <c r="AB12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2" s="29" t="str">
        <f>PROPER(TEXT(Tab_CONTRATOS[[#This Row],[FIM DA VIGÊNICA]],"Mmmm"))</f>
        <v>Julho</v>
      </c>
      <c r="AD12" s="29">
        <f>YEAR(Tab_CONTRATOS[[#This Row],[FIM DA VIGÊNICA]])</f>
        <v>2017</v>
      </c>
      <c r="AE12" s="30">
        <f ca="1">IF(Tab_CONTRATOS[[#This Row],[ENCERRADO]]="Sim","***",Tab_CONTRATOS[[#This Row],[FIM DA VIGÊNICA]]-TODAY())</f>
        <v>32</v>
      </c>
      <c r="AF12" s="30">
        <f ca="1">IF(Tab_CONTRATOS[[#This Row],[ENCERRADO]]="Sim","***",ABS(Tab_CONTRATOS[[#This Row],[DIF DIAS]]))</f>
        <v>32</v>
      </c>
      <c r="AG12" s="28" t="str">
        <f ca="1">IF(Tab_CONTRATOS[[#This Row],[ENCERRADO]]="Sim","***",IF(Tab_CONTRATOS[[#This Row],[DIF DIAS]]=1," dia ",IF(Tab_CONTRATOS[[#This Row],[DIF DIAS]]&lt;&gt;0," dias ")))</f>
        <v xml:space="preserve"> dias </v>
      </c>
      <c r="AH12" s="28" t="str">
        <f ca="1">IF(Tab_CONTRATOS[[#This Row],[ENCERRADO]]="Sim","***",IF(Tab_CONTRATOS[[#This Row],[DIF DIAS]]=1,"Falta ",IF(Tab_CONTRATOS[[#This Row],[DIF DIAS]]&lt;&gt;0,"Faltam ")))</f>
        <v xml:space="preserve">Faltam </v>
      </c>
      <c r="AI12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De 31 a 60 Dias</v>
      </c>
      <c r="AJ12" s="20" t="s">
        <v>71</v>
      </c>
      <c r="AK12" s="20" t="s">
        <v>152</v>
      </c>
      <c r="AL12" s="20"/>
      <c r="AM12" s="31"/>
      <c r="AN12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12" s="48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32350.5</v>
      </c>
      <c r="AP12" s="20" t="s">
        <v>53</v>
      </c>
      <c r="AQ12" s="28">
        <f>Tab_CONTRATOS[[#This Row],[LIMITE DE MESES]]-Tab_CONTRATOS[[#This Row],[TOTAL DE MESES]]</f>
        <v>24</v>
      </c>
      <c r="AR12" s="28"/>
      <c r="AS12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24 meses</v>
      </c>
      <c r="AT12" s="20" t="s">
        <v>153</v>
      </c>
      <c r="AU12" s="20"/>
      <c r="AV12" s="36" t="s">
        <v>154</v>
      </c>
      <c r="AW12" s="20"/>
    </row>
    <row r="13" spans="1:49" ht="47.25" customHeight="1" x14ac:dyDescent="0.25">
      <c r="A13" s="35" t="s">
        <v>155</v>
      </c>
      <c r="B13" s="19">
        <v>2014</v>
      </c>
      <c r="C13" s="20" t="s">
        <v>156</v>
      </c>
      <c r="D13" s="21" t="s">
        <v>157</v>
      </c>
      <c r="E13" s="39" t="s">
        <v>158</v>
      </c>
      <c r="F13" s="18" t="s">
        <v>58</v>
      </c>
      <c r="G13" s="18" t="s">
        <v>159</v>
      </c>
      <c r="H13" s="18" t="s">
        <v>160</v>
      </c>
      <c r="I13" s="18"/>
      <c r="J13" s="18" t="s">
        <v>56</v>
      </c>
      <c r="K13" s="18" t="s">
        <v>57</v>
      </c>
      <c r="L13" s="22">
        <v>14891.94</v>
      </c>
      <c r="M13" s="23">
        <f>IF(Tab_CONTRATOS[[#This Row],[INSTRUMENTO]]="","",Tab_CONTRATOS[[#This Row],[VALOR MENSAL]]*12)</f>
        <v>178703.28</v>
      </c>
      <c r="N13" s="24">
        <v>41880</v>
      </c>
      <c r="O13" s="24">
        <v>42917</v>
      </c>
      <c r="P13" s="25" t="s">
        <v>53</v>
      </c>
      <c r="Q13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34</v>
      </c>
      <c r="R13" s="25">
        <v>60</v>
      </c>
      <c r="S13" s="18" t="s">
        <v>161</v>
      </c>
      <c r="T13" s="18" t="s">
        <v>60</v>
      </c>
      <c r="U13" s="20" t="s">
        <v>162</v>
      </c>
      <c r="V13" s="20" t="s">
        <v>163</v>
      </c>
      <c r="W13" s="27"/>
      <c r="X13" s="28" t="e">
        <f>INDEX('[1]Apoio 2'!B:B,MATCH(Tab_CONTRATOS[[#This Row],[ITEM]],'[1]Apoio 2'!A:A,0))</f>
        <v>#N/A</v>
      </c>
      <c r="Y13" s="28" t="e">
        <f>INDEX('[1]Apoio 2'!C:C,MATCH(Tab_CONTRATOS[[#This Row],[TEMA DE CUSTO]],'[1]Apoio 2'!B:B,0))</f>
        <v>#N/A</v>
      </c>
      <c r="Z13" s="28" t="e">
        <f>INDEX('[1]Apoio 2'!D:D,MATCH(Tab_CONTRATOS[[#This Row],[TEMA DE CUSTO]],'[1]Apoio 2'!B:B,0))</f>
        <v>#N/A</v>
      </c>
      <c r="AA13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Row],[ABS]]&gt;0,CONCATENATE(AH13,Tab_CONTRATOS[[#This Row],[ABS]],Tab_CONTRATOS[[#This Row],[TXT DIA]]," para o vencimento")))),"Contrato Encerrado")</f>
        <v>Faltam 32 dias  para o vencimento</v>
      </c>
      <c r="AB13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3" s="29" t="str">
        <f>PROPER(TEXT(Tab_CONTRATOS[[#This Row],[FIM DA VIGÊNICA]],"Mmmm"))</f>
        <v>Julho</v>
      </c>
      <c r="AD13" s="29">
        <f>YEAR(Tab_CONTRATOS[[#This Row],[FIM DA VIGÊNICA]])</f>
        <v>2017</v>
      </c>
      <c r="AE13" s="30">
        <f ca="1">IF(Tab_CONTRATOS[[#This Row],[ENCERRADO]]="Sim","***",Tab_CONTRATOS[[#This Row],[FIM DA VIGÊNICA]]-TODAY())</f>
        <v>32</v>
      </c>
      <c r="AF13" s="30">
        <f ca="1">IF(Tab_CONTRATOS[[#This Row],[ENCERRADO]]="Sim","***",ABS(Tab_CONTRATOS[[#This Row],[DIF DIAS]]))</f>
        <v>32</v>
      </c>
      <c r="AG13" s="28" t="str">
        <f ca="1">IF(Tab_CONTRATOS[[#This Row],[ENCERRADO]]="Sim","***",IF(Tab_CONTRATOS[[#This Row],[DIF DIAS]]=1," dia ",IF(Tab_CONTRATOS[[#This Row],[DIF DIAS]]&lt;&gt;0," dias ")))</f>
        <v xml:space="preserve"> dias </v>
      </c>
      <c r="AH13" s="28" t="str">
        <f ca="1">IF(Tab_CONTRATOS[[#This Row],[ENCERRADO]]="Sim","***",IF(Tab_CONTRATOS[[#This Row],[DIF DIAS]]=1,"Falta ",IF(Tab_CONTRATOS[[#This Row],[DIF DIAS]]&lt;&gt;0,"Faltam ")))</f>
        <v xml:space="preserve">Faltam </v>
      </c>
      <c r="AI13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De 31 a 60 Dias</v>
      </c>
      <c r="AJ13" s="20" t="s">
        <v>71</v>
      </c>
      <c r="AK13" s="20" t="s">
        <v>164</v>
      </c>
      <c r="AL13" s="20" t="s">
        <v>143</v>
      </c>
      <c r="AM13" s="31">
        <v>41877</v>
      </c>
      <c r="AN13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Setembro</v>
      </c>
      <c r="AO13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104243.58</v>
      </c>
      <c r="AP13" s="20" t="s">
        <v>58</v>
      </c>
      <c r="AQ13" s="28">
        <f>Tab_CONTRATOS[[#This Row],[LIMITE DE MESES]]-Tab_CONTRATOS[[#This Row],[TOTAL DE MESES]]</f>
        <v>26</v>
      </c>
      <c r="AR13" s="28"/>
      <c r="AS13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26 meses</v>
      </c>
      <c r="AT13" s="20" t="s">
        <v>165</v>
      </c>
      <c r="AU13" s="20"/>
      <c r="AV13" s="20"/>
      <c r="AW13" s="20"/>
    </row>
    <row r="14" spans="1:49" ht="48" customHeight="1" x14ac:dyDescent="0.25">
      <c r="A14" s="38" t="s">
        <v>166</v>
      </c>
      <c r="B14" s="19">
        <v>2014</v>
      </c>
      <c r="C14" s="20" t="s">
        <v>167</v>
      </c>
      <c r="D14" s="21" t="s">
        <v>168</v>
      </c>
      <c r="E14" s="39" t="s">
        <v>169</v>
      </c>
      <c r="F14" s="18" t="s">
        <v>53</v>
      </c>
      <c r="G14" s="18" t="s">
        <v>54</v>
      </c>
      <c r="H14" s="18" t="s">
        <v>149</v>
      </c>
      <c r="I14" s="18"/>
      <c r="J14" s="18" t="s">
        <v>56</v>
      </c>
      <c r="K14" s="18" t="s">
        <v>57</v>
      </c>
      <c r="L14" s="22">
        <f>200556/12</f>
        <v>16713</v>
      </c>
      <c r="M14" s="23">
        <f>IF(Tab_CONTRATOS[[#This Row],[INSTRUMENTO]]="","",Tab_CONTRATOS[[#This Row],[VALOR MENSAL]]*12)</f>
        <v>200556</v>
      </c>
      <c r="N14" s="24">
        <v>41892</v>
      </c>
      <c r="O14" s="24">
        <v>42987</v>
      </c>
      <c r="P14" s="25" t="s">
        <v>53</v>
      </c>
      <c r="Q14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36</v>
      </c>
      <c r="R14" s="25">
        <v>60</v>
      </c>
      <c r="S14" s="18" t="s">
        <v>170</v>
      </c>
      <c r="T14" s="18" t="s">
        <v>60</v>
      </c>
      <c r="U14" s="20" t="s">
        <v>171</v>
      </c>
      <c r="V14" s="20"/>
      <c r="W14" s="27"/>
      <c r="X14" s="28" t="e">
        <f>INDEX('[1]Apoio 2'!B:B,MATCH(Tab_CONTRATOS[[#This Row],[ITEM]],'[1]Apoio 2'!A:A,0))</f>
        <v>#N/A</v>
      </c>
      <c r="Y14" s="28" t="e">
        <f>INDEX('[1]Apoio 2'!C:C,MATCH(Tab_CONTRATOS[[#This Row],[TEMA DE CUSTO]],'[1]Apoio 2'!B:B,0))</f>
        <v>#N/A</v>
      </c>
      <c r="Z14" s="28" t="e">
        <f>INDEX('[1]Apoio 2'!D:D,MATCH(Tab_CONTRATOS[[#This Row],[TEMA DE CUSTO]],'[1]Apoio 2'!B:B,0))</f>
        <v>#N/A</v>
      </c>
      <c r="AA14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Row],[ABS]]&gt;0,CONCATENATE(AH14,Tab_CONTRATOS[[#This Row],[ABS]],Tab_CONTRATOS[[#This Row],[TXT DIA]]," para o vencimento")))),"Contrato Encerrado")</f>
        <v>Faltam 102 dias  para o vencimento</v>
      </c>
      <c r="AB14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4" s="29" t="str">
        <f>PROPER(TEXT(Tab_CONTRATOS[[#This Row],[FIM DA VIGÊNICA]],"Mmmm"))</f>
        <v>Setembro</v>
      </c>
      <c r="AD14" s="29">
        <f>YEAR(Tab_CONTRATOS[[#This Row],[FIM DA VIGÊNICA]])</f>
        <v>2017</v>
      </c>
      <c r="AE14" s="30">
        <f ca="1">IF(Tab_CONTRATOS[[#This Row],[ENCERRADO]]="Sim","***",Tab_CONTRATOS[[#This Row],[FIM DA VIGÊNICA]]-TODAY())</f>
        <v>102</v>
      </c>
      <c r="AF14" s="30">
        <f ca="1">IF(Tab_CONTRATOS[[#This Row],[ENCERRADO]]="Sim","***",ABS(Tab_CONTRATOS[[#This Row],[DIF DIAS]]))</f>
        <v>102</v>
      </c>
      <c r="AG14" s="28" t="str">
        <f ca="1">IF(Tab_CONTRATOS[[#This Row],[ENCERRADO]]="Sim","***",IF(Tab_CONTRATOS[[#This Row],[DIF DIAS]]=1," dia ",IF(Tab_CONTRATOS[[#This Row],[DIF DIAS]]&lt;&gt;0," dias ")))</f>
        <v xml:space="preserve"> dias </v>
      </c>
      <c r="AH14" s="28" t="str">
        <f ca="1">IF(Tab_CONTRATOS[[#This Row],[ENCERRADO]]="Sim","***",IF(Tab_CONTRATOS[[#This Row],[DIF DIAS]]=1,"Falta ",IF(Tab_CONTRATOS[[#This Row],[DIF DIAS]]&lt;&gt;0,"Faltam ")))</f>
        <v xml:space="preserve">Faltam </v>
      </c>
      <c r="AI14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14" s="20" t="s">
        <v>62</v>
      </c>
      <c r="AK14" s="20" t="s">
        <v>63</v>
      </c>
      <c r="AL14" s="20"/>
      <c r="AM14" s="31">
        <v>41801</v>
      </c>
      <c r="AN14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Julho</v>
      </c>
      <c r="AO14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150417</v>
      </c>
      <c r="AP14" s="20" t="s">
        <v>58</v>
      </c>
      <c r="AQ14" s="28">
        <f>Tab_CONTRATOS[[#This Row],[LIMITE DE MESES]]-Tab_CONTRATOS[[#This Row],[TOTAL DE MESES]]</f>
        <v>24</v>
      </c>
      <c r="AR14" s="28" t="s">
        <v>172</v>
      </c>
      <c r="AS14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24 meses</v>
      </c>
      <c r="AT14" s="20" t="s">
        <v>173</v>
      </c>
      <c r="AU14" s="20"/>
      <c r="AV14" s="49" t="s">
        <v>174</v>
      </c>
      <c r="AW14" s="20"/>
    </row>
    <row r="15" spans="1:49" ht="33.75" customHeight="1" x14ac:dyDescent="0.25">
      <c r="A15" s="35" t="s">
        <v>175</v>
      </c>
      <c r="B15" s="50">
        <v>2014</v>
      </c>
      <c r="C15" s="51" t="s">
        <v>176</v>
      </c>
      <c r="D15" s="52" t="s">
        <v>177</v>
      </c>
      <c r="E15" s="53" t="s">
        <v>178</v>
      </c>
      <c r="F15" s="54" t="s">
        <v>58</v>
      </c>
      <c r="G15" s="54" t="s">
        <v>179</v>
      </c>
      <c r="H15" s="54" t="s">
        <v>180</v>
      </c>
      <c r="I15" s="54"/>
      <c r="J15" s="54" t="s">
        <v>56</v>
      </c>
      <c r="K15" s="54" t="s">
        <v>57</v>
      </c>
      <c r="L15" s="55">
        <v>104589.2</v>
      </c>
      <c r="M15" s="56">
        <f>IF(Tab_CONTRATOS[[#This Row],[INSTRUMENTO]]="","",Tab_CONTRATOS[[#This Row],[VALOR MENSAL]]*12)</f>
        <v>1255070.3999999999</v>
      </c>
      <c r="N15" s="57">
        <v>41913</v>
      </c>
      <c r="O15" s="57">
        <v>42886</v>
      </c>
      <c r="P15" s="58" t="s">
        <v>53</v>
      </c>
      <c r="Q15" s="59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32</v>
      </c>
      <c r="R15" s="60">
        <v>60</v>
      </c>
      <c r="S15" s="61" t="s">
        <v>181</v>
      </c>
      <c r="T15" s="54" t="s">
        <v>60</v>
      </c>
      <c r="U15" s="51" t="s">
        <v>182</v>
      </c>
      <c r="V15" s="51"/>
      <c r="W15" s="62"/>
      <c r="X15" s="63" t="e">
        <f>INDEX('[1]Apoio 2'!B:B,MATCH(Tab_CONTRATOS[[#This Row],[ITEM]],'[1]Apoio 2'!A:A,0))</f>
        <v>#N/A</v>
      </c>
      <c r="Y15" s="63" t="e">
        <f>INDEX('[1]Apoio 2'!C:C,MATCH(Tab_CONTRATOS[[#This Row],[TEMA DE CUSTO]],'[1]Apoio 2'!B:B,0))</f>
        <v>#N/A</v>
      </c>
      <c r="Z15" s="63" t="e">
        <f>INDEX('[1]Apoio 2'!D:D,MATCH(Tab_CONTRATOS[[#This Row],[TEMA DE CUSTO]],'[1]Apoio 2'!B:B,0))</f>
        <v>#N/A</v>
      </c>
      <c r="AA15" s="64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Row],[ABS]]&gt;0,CONCATENATE(AH15,Tab_CONTRATOS[[#This Row],[ABS]],Tab_CONTRATOS[[#This Row],[TXT DIA]]," para o vencimento")))),"Contrato Encerrado")</f>
        <v>Falta 1 dia  para o vencimento</v>
      </c>
      <c r="AB15" s="64" t="str">
        <f ca="1">IF(Tab_CONTRATOS[[#This Row],[ENCERRADO]]="Sim","Encerrado",IF(Tab_CONTRATOS[[#This Row],[DIF DIAS]]&gt;=0,"Em Execução",IF(Tab_CONTRATOS[[#This Row],[DIF DIAS]]&lt;0,"Vencido","ERRO!")))</f>
        <v>Em Execução</v>
      </c>
      <c r="AC15" s="64" t="str">
        <f>PROPER(TEXT(Tab_CONTRATOS[[#This Row],[FIM DA VIGÊNICA]],"Mmmm"))</f>
        <v>Maio</v>
      </c>
      <c r="AD15" s="64">
        <f>YEAR(Tab_CONTRATOS[[#This Row],[FIM DA VIGÊNICA]])</f>
        <v>2017</v>
      </c>
      <c r="AE15" s="65">
        <f ca="1">IF(Tab_CONTRATOS[[#This Row],[ENCERRADO]]="Sim","***",Tab_CONTRATOS[[#This Row],[FIM DA VIGÊNICA]]-TODAY())</f>
        <v>1</v>
      </c>
      <c r="AF15" s="66">
        <f ca="1">IF(Tab_CONTRATOS[[#This Row],[ENCERRADO]]="Sim","***",ABS(Tab_CONTRATOS[[#This Row],[DIF DIAS]]))</f>
        <v>1</v>
      </c>
      <c r="AG15" s="63" t="str">
        <f ca="1">IF(Tab_CONTRATOS[[#This Row],[ENCERRADO]]="Sim","***",IF(Tab_CONTRATOS[[#This Row],[DIF DIAS]]=1," dia ",IF(Tab_CONTRATOS[[#This Row],[DIF DIAS]]&lt;&gt;0," dias ")))</f>
        <v xml:space="preserve"> dia </v>
      </c>
      <c r="AH15" s="63" t="str">
        <f ca="1">IF(Tab_CONTRATOS[[#This Row],[ENCERRADO]]="Sim","***",IF(Tab_CONTRATOS[[#This Row],[DIF DIAS]]=1,"Falta ",IF(Tab_CONTRATOS[[#This Row],[DIF DIAS]]&lt;&gt;0,"Faltam ")))</f>
        <v xml:space="preserve">Falta </v>
      </c>
      <c r="AI15" s="63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Até 30 dias</v>
      </c>
      <c r="AJ15" s="67" t="s">
        <v>62</v>
      </c>
      <c r="AK15" s="51"/>
      <c r="AL15" s="51"/>
      <c r="AM15" s="68">
        <v>41865</v>
      </c>
      <c r="AN15" s="69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Setembro</v>
      </c>
      <c r="AO15" s="70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522946</v>
      </c>
      <c r="AP15" s="51" t="s">
        <v>58</v>
      </c>
      <c r="AQ15" s="63">
        <f>Tab_CONTRATOS[[#This Row],[LIMITE DE MESES]]-Tab_CONTRATOS[[#This Row],[TOTAL DE MESES]]</f>
        <v>28</v>
      </c>
      <c r="AR15" s="63"/>
      <c r="AS15" s="50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28 meses</v>
      </c>
      <c r="AT15" s="51" t="s">
        <v>181</v>
      </c>
      <c r="AU15" s="51"/>
      <c r="AV15" s="51"/>
      <c r="AW15" s="51"/>
    </row>
    <row r="16" spans="1:49" ht="47.25" customHeight="1" x14ac:dyDescent="0.25">
      <c r="A16" s="38" t="s">
        <v>183</v>
      </c>
      <c r="B16" s="19">
        <v>2015</v>
      </c>
      <c r="C16" s="20" t="s">
        <v>184</v>
      </c>
      <c r="D16" s="21" t="s">
        <v>185</v>
      </c>
      <c r="E16" s="39" t="s">
        <v>186</v>
      </c>
      <c r="F16" s="18" t="s">
        <v>53</v>
      </c>
      <c r="G16" s="18" t="s">
        <v>54</v>
      </c>
      <c r="H16" s="18" t="s">
        <v>149</v>
      </c>
      <c r="I16" s="18"/>
      <c r="J16" s="18" t="s">
        <v>56</v>
      </c>
      <c r="K16" s="18" t="s">
        <v>57</v>
      </c>
      <c r="L16" s="22">
        <v>8764.5</v>
      </c>
      <c r="M16" s="23">
        <f>IF(Tab_CONTRATOS[[#This Row],[INSTRUMENTO]]="","",Tab_CONTRATOS[[#This Row],[VALOR MENSAL]]*12)</f>
        <v>105174</v>
      </c>
      <c r="N16" s="24">
        <v>41974</v>
      </c>
      <c r="O16" s="24">
        <v>42999</v>
      </c>
      <c r="P16" s="25" t="s">
        <v>53</v>
      </c>
      <c r="Q16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34</v>
      </c>
      <c r="R16" s="25">
        <v>60</v>
      </c>
      <c r="S16" s="18" t="s">
        <v>187</v>
      </c>
      <c r="T16" s="18" t="s">
        <v>78</v>
      </c>
      <c r="U16" s="20" t="s">
        <v>188</v>
      </c>
      <c r="V16" s="20"/>
      <c r="W16" s="27"/>
      <c r="X16" s="28" t="e">
        <f>INDEX('[1]Apoio 2'!B:B,MATCH(Tab_CONTRATOS[[#This Row],[ITEM]],'[1]Apoio 2'!A:A,0))</f>
        <v>#N/A</v>
      </c>
      <c r="Y16" s="28" t="e">
        <f>INDEX('[1]Apoio 2'!C:C,MATCH(Tab_CONTRATOS[[#This Row],[TEMA DE CUSTO]],'[1]Apoio 2'!B:B,0))</f>
        <v>#N/A</v>
      </c>
      <c r="Z16" s="28" t="e">
        <f>INDEX('[1]Apoio 2'!D:D,MATCH(Tab_CONTRATOS[[#This Row],[TEMA DE CUSTO]],'[1]Apoio 2'!B:B,0))</f>
        <v>#N/A</v>
      </c>
      <c r="AA16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Row],[ABS]]&gt;0,CONCATENATE(AH16,Tab_CONTRATOS[[#This Row],[ABS]],Tab_CONTRATOS[[#This Row],[TXT DIA]]," para o vencimento")))),"Contrato Encerrado")</f>
        <v>Faltam 114 dias  para o vencimento</v>
      </c>
      <c r="AB16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6" s="29" t="str">
        <f>PROPER(TEXT(Tab_CONTRATOS[[#This Row],[FIM DA VIGÊNICA]],"Mmmm"))</f>
        <v>Setembro</v>
      </c>
      <c r="AD16" s="29">
        <f>YEAR(Tab_CONTRATOS[[#This Row],[FIM DA VIGÊNICA]])</f>
        <v>2017</v>
      </c>
      <c r="AE16" s="30">
        <f ca="1">IF(Tab_CONTRATOS[[#This Row],[ENCERRADO]]="Sim","***",Tab_CONTRATOS[[#This Row],[FIM DA VIGÊNICA]]-TODAY())</f>
        <v>114</v>
      </c>
      <c r="AF16" s="30">
        <f ca="1">IF(Tab_CONTRATOS[[#This Row],[ENCERRADO]]="Sim","***",ABS(Tab_CONTRATOS[[#This Row],[DIF DIAS]]))</f>
        <v>114</v>
      </c>
      <c r="AG16" s="28" t="str">
        <f ca="1">IF(Tab_CONTRATOS[[#This Row],[ENCERRADO]]="Sim","***",IF(Tab_CONTRATOS[[#This Row],[DIF DIAS]]=1," dia ",IF(Tab_CONTRATOS[[#This Row],[DIF DIAS]]&lt;&gt;0," dias ")))</f>
        <v xml:space="preserve"> dias </v>
      </c>
      <c r="AH16" s="28" t="str">
        <f ca="1">IF(Tab_CONTRATOS[[#This Row],[ENCERRADO]]="Sim","***",IF(Tab_CONTRATOS[[#This Row],[DIF DIAS]]=1,"Falta ",IF(Tab_CONTRATOS[[#This Row],[DIF DIAS]]&lt;&gt;0,"Faltam ")))</f>
        <v xml:space="preserve">Faltam </v>
      </c>
      <c r="AI16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16" s="20" t="s">
        <v>71</v>
      </c>
      <c r="AK16" s="20" t="s">
        <v>63</v>
      </c>
      <c r="AL16" s="20"/>
      <c r="AM16" s="31"/>
      <c r="AN16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16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78880.5</v>
      </c>
      <c r="AP16" s="20" t="s">
        <v>58</v>
      </c>
      <c r="AQ16" s="28">
        <f>Tab_CONTRATOS[[#This Row],[LIMITE DE MESES]]-Tab_CONTRATOS[[#This Row],[TOTAL DE MESES]]</f>
        <v>26</v>
      </c>
      <c r="AR16" s="28"/>
      <c r="AS16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26 meses</v>
      </c>
      <c r="AT16" s="20" t="s">
        <v>189</v>
      </c>
      <c r="AU16" s="20"/>
      <c r="AV16" s="20"/>
      <c r="AW16" s="20"/>
    </row>
    <row r="17" spans="1:51" ht="49.5" customHeight="1" x14ac:dyDescent="0.25">
      <c r="A17" s="35" t="s">
        <v>190</v>
      </c>
      <c r="B17" s="19">
        <v>2015</v>
      </c>
      <c r="C17" s="20" t="s">
        <v>191</v>
      </c>
      <c r="D17" s="21" t="s">
        <v>192</v>
      </c>
      <c r="E17" s="39" t="s">
        <v>193</v>
      </c>
      <c r="F17" s="18" t="s">
        <v>58</v>
      </c>
      <c r="G17" s="18" t="s">
        <v>115</v>
      </c>
      <c r="H17" s="18" t="s">
        <v>116</v>
      </c>
      <c r="I17" s="18"/>
      <c r="J17" s="18" t="s">
        <v>117</v>
      </c>
      <c r="K17" s="18" t="s">
        <v>57</v>
      </c>
      <c r="L17" s="22">
        <v>6594.3</v>
      </c>
      <c r="M17" s="23">
        <f>IF(Tab_CONTRATOS[[#This Row],[INSTRUMENTO]]="","",Tab_CONTRATOS[[#This Row],[VALOR MENSAL]]*12)</f>
        <v>79131.600000000006</v>
      </c>
      <c r="N17" s="24">
        <v>42095</v>
      </c>
      <c r="O17" s="24">
        <v>43040</v>
      </c>
      <c r="P17" s="25" t="s">
        <v>53</v>
      </c>
      <c r="Q17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31</v>
      </c>
      <c r="R17" s="25">
        <v>60</v>
      </c>
      <c r="S17" s="18" t="s">
        <v>194</v>
      </c>
      <c r="T17" s="18" t="s">
        <v>60</v>
      </c>
      <c r="U17" s="20" t="s">
        <v>195</v>
      </c>
      <c r="V17" s="20"/>
      <c r="W17" s="27"/>
      <c r="X17" s="28" t="e">
        <f>INDEX('[1]Apoio 2'!B:B,MATCH(Tab_CONTRATOS[[#This Row],[ITEM]],'[1]Apoio 2'!A:A,0))</f>
        <v>#N/A</v>
      </c>
      <c r="Y17" s="28" t="e">
        <f>INDEX('[1]Apoio 2'!C:C,MATCH(Tab_CONTRATOS[[#This Row],[TEMA DE CUSTO]],'[1]Apoio 2'!B:B,0))</f>
        <v>#N/A</v>
      </c>
      <c r="Z17" s="28" t="e">
        <f>INDEX('[1]Apoio 2'!D:D,MATCH(Tab_CONTRATOS[[#This Row],[TEMA DE CUSTO]],'[1]Apoio 2'!B:B,0))</f>
        <v>#N/A</v>
      </c>
      <c r="AA17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Row],[ABS]]&gt;0,CONCATENATE(AH17,Tab_CONTRATOS[[#This Row],[ABS]],Tab_CONTRATOS[[#This Row],[TXT DIA]]," para o vencimento")))),"Contrato Encerrado")</f>
        <v>Faltam 155 dias  para o vencimento</v>
      </c>
      <c r="AB17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7" s="29" t="str">
        <f>PROPER(TEXT(Tab_CONTRATOS[[#This Row],[FIM DA VIGÊNICA]],"Mmmm"))</f>
        <v>Novembro</v>
      </c>
      <c r="AD17" s="29">
        <f>YEAR(Tab_CONTRATOS[[#This Row],[FIM DA VIGÊNICA]])</f>
        <v>2017</v>
      </c>
      <c r="AE17" s="30">
        <f ca="1">IF(Tab_CONTRATOS[[#This Row],[ENCERRADO]]="Sim","***",Tab_CONTRATOS[[#This Row],[FIM DA VIGÊNICA]]-TODAY())</f>
        <v>155</v>
      </c>
      <c r="AF17" s="30">
        <f ca="1">IF(Tab_CONTRATOS[[#This Row],[ENCERRADO]]="Sim","***",ABS(Tab_CONTRATOS[[#This Row],[DIF DIAS]]))</f>
        <v>155</v>
      </c>
      <c r="AG17" s="28" t="str">
        <f ca="1">IF(Tab_CONTRATOS[[#This Row],[ENCERRADO]]="Sim","***",IF(Tab_CONTRATOS[[#This Row],[DIF DIAS]]=1," dia ",IF(Tab_CONTRATOS[[#This Row],[DIF DIAS]]&lt;&gt;0," dias ")))</f>
        <v xml:space="preserve"> dias </v>
      </c>
      <c r="AH17" s="28" t="str">
        <f ca="1">IF(Tab_CONTRATOS[[#This Row],[ENCERRADO]]="Sim","***",IF(Tab_CONTRATOS[[#This Row],[DIF DIAS]]=1,"Falta ",IF(Tab_CONTRATOS[[#This Row],[DIF DIAS]]&lt;&gt;0,"Faltam ")))</f>
        <v xml:space="preserve">Faltam </v>
      </c>
      <c r="AI17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17" s="20" t="s">
        <v>71</v>
      </c>
      <c r="AK17" s="20" t="s">
        <v>196</v>
      </c>
      <c r="AL17" s="20"/>
      <c r="AM17" s="31"/>
      <c r="AN17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17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72537.3</v>
      </c>
      <c r="AP17" s="20" t="s">
        <v>58</v>
      </c>
      <c r="AQ17" s="28">
        <f>Tab_CONTRATOS[[#This Row],[LIMITE DE MESES]]-Tab_CONTRATOS[[#This Row],[TOTAL DE MESES]]</f>
        <v>29</v>
      </c>
      <c r="AR17" s="28"/>
      <c r="AS17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29 meses</v>
      </c>
      <c r="AT17" s="20" t="s">
        <v>197</v>
      </c>
      <c r="AU17" s="20"/>
      <c r="AV17" s="20" t="s">
        <v>198</v>
      </c>
      <c r="AW17" s="20"/>
    </row>
    <row r="18" spans="1:51" ht="61.5" customHeight="1" x14ac:dyDescent="0.25">
      <c r="A18" s="38" t="s">
        <v>199</v>
      </c>
      <c r="B18" s="19">
        <v>2015</v>
      </c>
      <c r="C18" s="20" t="s">
        <v>200</v>
      </c>
      <c r="D18" s="21" t="s">
        <v>201</v>
      </c>
      <c r="E18" s="39" t="s">
        <v>202</v>
      </c>
      <c r="F18" s="18" t="s">
        <v>58</v>
      </c>
      <c r="G18" s="18" t="s">
        <v>54</v>
      </c>
      <c r="H18" s="18" t="s">
        <v>149</v>
      </c>
      <c r="I18" s="18"/>
      <c r="J18" s="18" t="s">
        <v>56</v>
      </c>
      <c r="K18" s="18" t="s">
        <v>57</v>
      </c>
      <c r="L18" s="22">
        <v>2910.8</v>
      </c>
      <c r="M18" s="23">
        <f>IF(Tab_CONTRATOS[[#This Row],[INSTRUMENTO]]="","",Tab_CONTRATOS[[#This Row],[VALOR MENSAL]]*12)</f>
        <v>34929.600000000006</v>
      </c>
      <c r="N18" s="24">
        <v>42157</v>
      </c>
      <c r="O18" s="24">
        <v>42886</v>
      </c>
      <c r="P18" s="25" t="s">
        <v>53</v>
      </c>
      <c r="Q18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18" s="25">
        <v>60</v>
      </c>
      <c r="S18" s="18" t="s">
        <v>161</v>
      </c>
      <c r="T18" s="18" t="s">
        <v>60</v>
      </c>
      <c r="U18" s="20" t="s">
        <v>203</v>
      </c>
      <c r="V18" s="20"/>
      <c r="W18" s="27"/>
      <c r="X18" s="28" t="e">
        <f>INDEX('[1]Apoio 2'!B:B,MATCH(Tab_CONTRATOS[[#This Row],[ITEM]],'[1]Apoio 2'!A:A,0))</f>
        <v>#N/A</v>
      </c>
      <c r="Y18" s="28" t="e">
        <f>INDEX('[1]Apoio 2'!C:C,MATCH(Tab_CONTRATOS[[#This Row],[TEMA DE CUSTO]],'[1]Apoio 2'!B:B,0))</f>
        <v>#N/A</v>
      </c>
      <c r="Z18" s="28" t="e">
        <f>INDEX('[1]Apoio 2'!D:D,MATCH(Tab_CONTRATOS[[#This Row],[TEMA DE CUSTO]],'[1]Apoio 2'!B:B,0))</f>
        <v>#N/A</v>
      </c>
      <c r="AA18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Row],[ABS]]&gt;0,CONCATENATE(AH18,Tab_CONTRATOS[[#This Row],[ABS]],Tab_CONTRATOS[[#This Row],[TXT DIA]]," para o vencimento")))),"Contrato Encerrado")</f>
        <v>Falta 1 dia  para o vencimento</v>
      </c>
      <c r="AB18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18" s="29" t="str">
        <f>PROPER(TEXT(Tab_CONTRATOS[[#This Row],[FIM DA VIGÊNICA]],"Mmmm"))</f>
        <v>Maio</v>
      </c>
      <c r="AD18" s="29">
        <f>YEAR(Tab_CONTRATOS[[#This Row],[FIM DA VIGÊNICA]])</f>
        <v>2017</v>
      </c>
      <c r="AE18" s="30">
        <f ca="1">IF(Tab_CONTRATOS[[#This Row],[ENCERRADO]]="Sim","***",Tab_CONTRATOS[[#This Row],[FIM DA VIGÊNICA]]-TODAY())</f>
        <v>1</v>
      </c>
      <c r="AF18" s="30">
        <f ca="1">IF(Tab_CONTRATOS[[#This Row],[ENCERRADO]]="Sim","***",ABS(Tab_CONTRATOS[[#This Row],[DIF DIAS]]))</f>
        <v>1</v>
      </c>
      <c r="AG18" s="28" t="str">
        <f ca="1">IF(Tab_CONTRATOS[[#This Row],[ENCERRADO]]="Sim","***",IF(Tab_CONTRATOS[[#This Row],[DIF DIAS]]=1," dia ",IF(Tab_CONTRATOS[[#This Row],[DIF DIAS]]&lt;&gt;0," dias ")))</f>
        <v xml:space="preserve"> dia </v>
      </c>
      <c r="AH18" s="28" t="str">
        <f ca="1">IF(Tab_CONTRATOS[[#This Row],[ENCERRADO]]="Sim","***",IF(Tab_CONTRATOS[[#This Row],[DIF DIAS]]=1,"Falta ",IF(Tab_CONTRATOS[[#This Row],[DIF DIAS]]&lt;&gt;0,"Faltam ")))</f>
        <v xml:space="preserve">Falta </v>
      </c>
      <c r="AI18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Até 30 dias</v>
      </c>
      <c r="AJ18" s="20" t="s">
        <v>71</v>
      </c>
      <c r="AK18" s="20" t="s">
        <v>63</v>
      </c>
      <c r="AL18" s="20" t="s">
        <v>204</v>
      </c>
      <c r="AM18" s="31">
        <v>42144</v>
      </c>
      <c r="AN18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Junho</v>
      </c>
      <c r="AO18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14554</v>
      </c>
      <c r="AP18" s="20" t="s">
        <v>58</v>
      </c>
      <c r="AQ18" s="28">
        <f>Tab_CONTRATOS[[#This Row],[LIMITE DE MESES]]-Tab_CONTRATOS[[#This Row],[TOTAL DE MESES]]</f>
        <v>36</v>
      </c>
      <c r="AR18" s="28"/>
      <c r="AS18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18" s="20" t="s">
        <v>205</v>
      </c>
      <c r="AU18" s="20"/>
      <c r="AV18" s="36" t="s">
        <v>206</v>
      </c>
      <c r="AW18" s="20" t="s">
        <v>207</v>
      </c>
    </row>
    <row r="19" spans="1:51" ht="36" customHeight="1" x14ac:dyDescent="0.25">
      <c r="A19" s="35" t="s">
        <v>208</v>
      </c>
      <c r="B19" s="50">
        <v>2015</v>
      </c>
      <c r="C19" s="51" t="s">
        <v>209</v>
      </c>
      <c r="D19" s="52" t="s">
        <v>210</v>
      </c>
      <c r="E19" s="53" t="s">
        <v>211</v>
      </c>
      <c r="F19" s="54"/>
      <c r="G19" s="54"/>
      <c r="H19" s="54"/>
      <c r="I19" s="54"/>
      <c r="J19" s="54"/>
      <c r="K19" s="54"/>
      <c r="L19" s="55">
        <v>2599.16</v>
      </c>
      <c r="M19" s="56">
        <f>IF(Tab_CONTRATOS[[#This Row],[INSTRUMENTO]]="","",Tab_CONTRATOS[[#This Row],[VALOR MENSAL]]*12)</f>
        <v>31189.919999999998</v>
      </c>
      <c r="N19" s="57">
        <v>42369</v>
      </c>
      <c r="O19" s="57">
        <v>43100</v>
      </c>
      <c r="P19" s="58" t="s">
        <v>53</v>
      </c>
      <c r="Q19" s="59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19" s="60">
        <v>60</v>
      </c>
      <c r="S19" s="61"/>
      <c r="T19" s="54"/>
      <c r="U19" s="51"/>
      <c r="V19" s="51"/>
      <c r="W19" s="62"/>
      <c r="X19" s="63" t="e">
        <f>INDEX('[1]Apoio 2'!B:B,MATCH(Tab_CONTRATOS[[#This Row],[ITEM]],'[1]Apoio 2'!A:A,0))</f>
        <v>#N/A</v>
      </c>
      <c r="Y19" s="63" t="e">
        <f>INDEX('[1]Apoio 2'!C:C,MATCH(Tab_CONTRATOS[[#This Row],[TEMA DE CUSTO]],'[1]Apoio 2'!B:B,0))</f>
        <v>#N/A</v>
      </c>
      <c r="Z19" s="63" t="e">
        <f>INDEX('[1]Apoio 2'!D:D,MATCH(Tab_CONTRATOS[[#This Row],[TEMA DE CUSTO]],'[1]Apoio 2'!B:B,0))</f>
        <v>#N/A</v>
      </c>
      <c r="AA19" s="64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Row],[ABS]]&gt;0,CONCATENATE(AH19,Tab_CONTRATOS[[#This Row],[ABS]],Tab_CONTRATOS[[#This Row],[TXT DIA]]," para o vencimento")))),"Contrato Encerrado")</f>
        <v>Faltam 215 dias  para o vencimento</v>
      </c>
      <c r="AB19" s="64" t="str">
        <f ca="1">IF(Tab_CONTRATOS[[#This Row],[ENCERRADO]]="Sim","Encerrado",IF(Tab_CONTRATOS[[#This Row],[DIF DIAS]]&gt;=0,"Em Execução",IF(Tab_CONTRATOS[[#This Row],[DIF DIAS]]&lt;0,"Vencido","ERRO!")))</f>
        <v>Em Execução</v>
      </c>
      <c r="AC19" s="64" t="str">
        <f>PROPER(TEXT(Tab_CONTRATOS[[#This Row],[FIM DA VIGÊNICA]],"Mmmm"))</f>
        <v>Dezembro</v>
      </c>
      <c r="AD19" s="64">
        <f>YEAR(Tab_CONTRATOS[[#This Row],[FIM DA VIGÊNICA]])</f>
        <v>2017</v>
      </c>
      <c r="AE19" s="65">
        <f ca="1">IF(Tab_CONTRATOS[[#This Row],[ENCERRADO]]="Sim","***",Tab_CONTRATOS[[#This Row],[FIM DA VIGÊNICA]]-TODAY())</f>
        <v>215</v>
      </c>
      <c r="AF19" s="66">
        <f ca="1">IF(Tab_CONTRATOS[[#This Row],[ENCERRADO]]="Sim","***",ABS(Tab_CONTRATOS[[#This Row],[DIF DIAS]]))</f>
        <v>215</v>
      </c>
      <c r="AG19" s="63" t="str">
        <f ca="1">IF(Tab_CONTRATOS[[#This Row],[ENCERRADO]]="Sim","***",IF(Tab_CONTRATOS[[#This Row],[DIF DIAS]]=1," dia ",IF(Tab_CONTRATOS[[#This Row],[DIF DIAS]]&lt;&gt;0," dias ")))</f>
        <v xml:space="preserve"> dias </v>
      </c>
      <c r="AH19" s="63" t="str">
        <f ca="1">IF(Tab_CONTRATOS[[#This Row],[ENCERRADO]]="Sim","***",IF(Tab_CONTRATOS[[#This Row],[DIF DIAS]]=1,"Falta ",IF(Tab_CONTRATOS[[#This Row],[DIF DIAS]]&lt;&gt;0,"Faltam ")))</f>
        <v xml:space="preserve">Faltam </v>
      </c>
      <c r="AI19" s="63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19" s="67"/>
      <c r="AK19" s="51"/>
      <c r="AL19" s="51"/>
      <c r="AM19" s="68"/>
      <c r="AN19" s="69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19" s="70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31189.919999999998</v>
      </c>
      <c r="AP19" s="51"/>
      <c r="AQ19" s="63">
        <f>Tab_CONTRATOS[[#This Row],[LIMITE DE MESES]]-Tab_CONTRATOS[[#This Row],[TOTAL DE MESES]]</f>
        <v>36</v>
      </c>
      <c r="AR19" s="63"/>
      <c r="AS19" s="50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19" s="51"/>
      <c r="AU19" s="51"/>
      <c r="AV19" s="51"/>
      <c r="AW19" s="51"/>
    </row>
    <row r="20" spans="1:51" ht="59.25" customHeight="1" x14ac:dyDescent="0.25">
      <c r="A20" s="38" t="s">
        <v>212</v>
      </c>
      <c r="B20" s="19">
        <v>2015</v>
      </c>
      <c r="C20" s="20" t="s">
        <v>213</v>
      </c>
      <c r="D20" s="21" t="s">
        <v>214</v>
      </c>
      <c r="E20" s="39" t="s">
        <v>215</v>
      </c>
      <c r="F20" s="18" t="s">
        <v>53</v>
      </c>
      <c r="G20" s="18" t="s">
        <v>95</v>
      </c>
      <c r="H20" s="18" t="s">
        <v>96</v>
      </c>
      <c r="I20" s="18"/>
      <c r="J20" s="18" t="s">
        <v>56</v>
      </c>
      <c r="K20" s="18" t="s">
        <v>57</v>
      </c>
      <c r="L20" s="22">
        <v>6550</v>
      </c>
      <c r="M20" s="23">
        <f>IF(Tab_CONTRATOS[[#This Row],[INSTRUMENTO]]="","",Tab_CONTRATOS[[#This Row],[VALOR MENSAL]]*12)</f>
        <v>78600</v>
      </c>
      <c r="N20" s="40">
        <v>42262</v>
      </c>
      <c r="O20" s="40">
        <v>42991</v>
      </c>
      <c r="P20" s="25" t="s">
        <v>53</v>
      </c>
      <c r="Q20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20" s="42">
        <v>60</v>
      </c>
      <c r="S20" s="43" t="s">
        <v>216</v>
      </c>
      <c r="T20" s="18" t="s">
        <v>60</v>
      </c>
      <c r="U20" s="20" t="s">
        <v>217</v>
      </c>
      <c r="V20" s="20"/>
      <c r="W20" s="27"/>
      <c r="X20" s="28" t="e">
        <f>INDEX('[1]Apoio 2'!B:B,MATCH(Tab_CONTRATOS[[#This Row],[ITEM]],'[1]Apoio 2'!A:A,0))</f>
        <v>#N/A</v>
      </c>
      <c r="Y20" s="28" t="e">
        <f>INDEX('[1]Apoio 2'!C:C,MATCH(Tab_CONTRATOS[[#This Row],[TEMA DE CUSTO]],'[1]Apoio 2'!B:B,0))</f>
        <v>#N/A</v>
      </c>
      <c r="Z20" s="28" t="e">
        <f>INDEX('[1]Apoio 2'!D:D,MATCH(Tab_CONTRATOS[[#This Row],[TEMA DE CUSTO]],'[1]Apoio 2'!B:B,0))</f>
        <v>#N/A</v>
      </c>
      <c r="AA20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Row],[ABS]]&gt;0,CONCATENATE(AH20,Tab_CONTRATOS[[#This Row],[ABS]],Tab_CONTRATOS[[#This Row],[TXT DIA]]," para o vencimento")))),"Contrato Encerrado")</f>
        <v>Faltam 106 dias  para o vencimento</v>
      </c>
      <c r="AB20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20" s="29" t="str">
        <f>PROPER(TEXT(Tab_CONTRATOS[[#This Row],[FIM DA VIGÊNICA]],"Mmmm"))</f>
        <v>Setembro</v>
      </c>
      <c r="AD20" s="29">
        <f>YEAR(Tab_CONTRATOS[[#This Row],[FIM DA VIGÊNICA]])</f>
        <v>2017</v>
      </c>
      <c r="AE20" s="44">
        <f ca="1">IF(Tab_CONTRATOS[[#This Row],[ENCERRADO]]="Sim","***",Tab_CONTRATOS[[#This Row],[FIM DA VIGÊNICA]]-TODAY())</f>
        <v>106</v>
      </c>
      <c r="AF20" s="30">
        <f ca="1">IF(Tab_CONTRATOS[[#This Row],[ENCERRADO]]="Sim","***",ABS(Tab_CONTRATOS[[#This Row],[DIF DIAS]]))</f>
        <v>106</v>
      </c>
      <c r="AG20" s="28" t="str">
        <f ca="1">IF(Tab_CONTRATOS[[#This Row],[ENCERRADO]]="Sim","***",IF(Tab_CONTRATOS[[#This Row],[DIF DIAS]]=1," dia ",IF(Tab_CONTRATOS[[#This Row],[DIF DIAS]]&lt;&gt;0," dias ")))</f>
        <v xml:space="preserve"> dias </v>
      </c>
      <c r="AH20" s="28" t="str">
        <f ca="1">IF(Tab_CONTRATOS[[#This Row],[ENCERRADO]]="Sim","***",IF(Tab_CONTRATOS[[#This Row],[DIF DIAS]]=1,"Falta ",IF(Tab_CONTRATOS[[#This Row],[DIF DIAS]]&lt;&gt;0,"Faltam ")))</f>
        <v xml:space="preserve">Faltam </v>
      </c>
      <c r="AI20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20" s="45" t="s">
        <v>71</v>
      </c>
      <c r="AK20" s="20" t="s">
        <v>218</v>
      </c>
      <c r="AL20" s="20"/>
      <c r="AM20" s="31"/>
      <c r="AN20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0" s="46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58950</v>
      </c>
      <c r="AP20" s="20" t="s">
        <v>58</v>
      </c>
      <c r="AQ20" s="28">
        <f>Tab_CONTRATOS[[#This Row],[LIMITE DE MESES]]-Tab_CONTRATOS[[#This Row],[TOTAL DE MESES]]</f>
        <v>36</v>
      </c>
      <c r="AR20" s="28"/>
      <c r="AS20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20" s="20" t="s">
        <v>219</v>
      </c>
      <c r="AU20" s="20"/>
      <c r="AV20" s="20"/>
      <c r="AW20" s="20"/>
    </row>
    <row r="21" spans="1:51" ht="38.25" customHeight="1" x14ac:dyDescent="0.25">
      <c r="A21" s="35" t="s">
        <v>220</v>
      </c>
      <c r="B21" s="19">
        <v>2015</v>
      </c>
      <c r="C21" s="20" t="s">
        <v>221</v>
      </c>
      <c r="D21" s="21" t="s">
        <v>222</v>
      </c>
      <c r="E21" s="39" t="s">
        <v>223</v>
      </c>
      <c r="F21" s="18" t="s">
        <v>53</v>
      </c>
      <c r="G21" s="18" t="s">
        <v>95</v>
      </c>
      <c r="H21" s="18" t="s">
        <v>96</v>
      </c>
      <c r="I21" s="18"/>
      <c r="J21" s="18" t="s">
        <v>56</v>
      </c>
      <c r="K21" s="18" t="s">
        <v>57</v>
      </c>
      <c r="L21" s="22">
        <f>4800/12</f>
        <v>400</v>
      </c>
      <c r="M21" s="23">
        <f>IF(Tab_CONTRATOS[[#This Row],[INSTRUMENTO]]="","",Tab_CONTRATOS[[#This Row],[VALOR MENSAL]]*12)</f>
        <v>4800</v>
      </c>
      <c r="N21" s="40">
        <v>42278</v>
      </c>
      <c r="O21" s="40">
        <v>43007</v>
      </c>
      <c r="P21" s="25" t="s">
        <v>53</v>
      </c>
      <c r="Q21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21" s="42">
        <v>60</v>
      </c>
      <c r="S21" s="43" t="s">
        <v>224</v>
      </c>
      <c r="T21" s="18" t="s">
        <v>60</v>
      </c>
      <c r="U21" s="20" t="s">
        <v>225</v>
      </c>
      <c r="V21" s="20"/>
      <c r="W21" s="27"/>
      <c r="X21" s="28" t="e">
        <f>INDEX('[1]Apoio 2'!B:B,MATCH(Tab_CONTRATOS[[#This Row],[ITEM]],'[1]Apoio 2'!A:A,0))</f>
        <v>#N/A</v>
      </c>
      <c r="Y21" s="28" t="e">
        <f>INDEX('[1]Apoio 2'!C:C,MATCH(Tab_CONTRATOS[[#This Row],[TEMA DE CUSTO]],'[1]Apoio 2'!B:B,0))</f>
        <v>#N/A</v>
      </c>
      <c r="Z21" s="28" t="e">
        <f>INDEX('[1]Apoio 2'!D:D,MATCH(Tab_CONTRATOS[[#This Row],[TEMA DE CUSTO]],'[1]Apoio 2'!B:B,0))</f>
        <v>#N/A</v>
      </c>
      <c r="AA21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Row],[ABS]]&gt;0,CONCATENATE(AH21,Tab_CONTRATOS[[#This Row],[ABS]],Tab_CONTRATOS[[#This Row],[TXT DIA]]," para o vencimento")))),"Contrato Encerrado")</f>
        <v>Faltam 122 dias  para o vencimento</v>
      </c>
      <c r="AB21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21" s="29" t="str">
        <f>PROPER(TEXT(Tab_CONTRATOS[[#This Row],[FIM DA VIGÊNICA]],"Mmmm"))</f>
        <v>Setembro</v>
      </c>
      <c r="AD21" s="29">
        <f>YEAR(Tab_CONTRATOS[[#This Row],[FIM DA VIGÊNICA]])</f>
        <v>2017</v>
      </c>
      <c r="AE21" s="44">
        <f ca="1">IF(Tab_CONTRATOS[[#This Row],[ENCERRADO]]="Sim","***",Tab_CONTRATOS[[#This Row],[FIM DA VIGÊNICA]]-TODAY())</f>
        <v>122</v>
      </c>
      <c r="AF21" s="30">
        <f ca="1">IF(Tab_CONTRATOS[[#This Row],[ENCERRADO]]="Sim","***",ABS(Tab_CONTRATOS[[#This Row],[DIF DIAS]]))</f>
        <v>122</v>
      </c>
      <c r="AG21" s="28" t="str">
        <f ca="1">IF(Tab_CONTRATOS[[#This Row],[ENCERRADO]]="Sim","***",IF(Tab_CONTRATOS[[#This Row],[DIF DIAS]]=1," dia ",IF(Tab_CONTRATOS[[#This Row],[DIF DIAS]]&lt;&gt;0," dias ")))</f>
        <v xml:space="preserve"> dias </v>
      </c>
      <c r="AH21" s="28" t="str">
        <f ca="1">IF(Tab_CONTRATOS[[#This Row],[ENCERRADO]]="Sim","***",IF(Tab_CONTRATOS[[#This Row],[DIF DIAS]]=1,"Falta ",IF(Tab_CONTRATOS[[#This Row],[DIF DIAS]]&lt;&gt;0,"Faltam ")))</f>
        <v xml:space="preserve">Faltam </v>
      </c>
      <c r="AI21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21" s="20" t="s">
        <v>71</v>
      </c>
      <c r="AK21" s="45" t="s">
        <v>226</v>
      </c>
      <c r="AL21" s="20"/>
      <c r="AM21" s="31"/>
      <c r="AN21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1" s="48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3600</v>
      </c>
      <c r="AP21" s="20" t="s">
        <v>58</v>
      </c>
      <c r="AQ21" s="28">
        <f>Tab_CONTRATOS[[#This Row],[LIMITE DE MESES]]-Tab_CONTRATOS[[#This Row],[TOTAL DE MESES]]</f>
        <v>36</v>
      </c>
      <c r="AR21" s="28"/>
      <c r="AS21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21" s="20" t="s">
        <v>227</v>
      </c>
      <c r="AU21" s="20"/>
      <c r="AV21" s="20"/>
      <c r="AW21" s="20"/>
    </row>
    <row r="22" spans="1:51" ht="53.25" customHeight="1" x14ac:dyDescent="0.25">
      <c r="A22" s="38" t="s">
        <v>228</v>
      </c>
      <c r="B22" s="19">
        <v>2015</v>
      </c>
      <c r="C22" s="20" t="s">
        <v>229</v>
      </c>
      <c r="D22" s="21" t="s">
        <v>230</v>
      </c>
      <c r="E22" s="39" t="s">
        <v>231</v>
      </c>
      <c r="F22" s="18" t="s">
        <v>53</v>
      </c>
      <c r="G22" s="18" t="s">
        <v>95</v>
      </c>
      <c r="H22" s="18" t="s">
        <v>96</v>
      </c>
      <c r="I22" s="18"/>
      <c r="J22" s="18" t="s">
        <v>56</v>
      </c>
      <c r="K22" s="18" t="s">
        <v>57</v>
      </c>
      <c r="L22" s="22">
        <v>36342.51</v>
      </c>
      <c r="M22" s="23">
        <f>IF(Tab_CONTRATOS[[#This Row],[INSTRUMENTO]]="","",Tab_CONTRATOS[[#This Row],[VALOR MENSAL]]*12)</f>
        <v>436110.12</v>
      </c>
      <c r="N22" s="40">
        <v>42311</v>
      </c>
      <c r="O22" s="40">
        <v>43040</v>
      </c>
      <c r="P22" s="25" t="s">
        <v>53</v>
      </c>
      <c r="Q22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22" s="42">
        <v>60</v>
      </c>
      <c r="S22" s="43" t="s">
        <v>232</v>
      </c>
      <c r="T22" s="18" t="s">
        <v>78</v>
      </c>
      <c r="U22" s="20" t="s">
        <v>233</v>
      </c>
      <c r="V22" s="20"/>
      <c r="W22" s="27"/>
      <c r="X22" s="28" t="e">
        <f>INDEX('[1]Apoio 2'!B:B,MATCH(Tab_CONTRATOS[[#This Row],[ITEM]],'[1]Apoio 2'!A:A,0))</f>
        <v>#N/A</v>
      </c>
      <c r="Y22" s="28" t="e">
        <f>INDEX('[1]Apoio 2'!C:C,MATCH(Tab_CONTRATOS[[#This Row],[TEMA DE CUSTO]],'[1]Apoio 2'!B:B,0))</f>
        <v>#N/A</v>
      </c>
      <c r="Z22" s="28" t="e">
        <f>INDEX('[1]Apoio 2'!D:D,MATCH(Tab_CONTRATOS[[#This Row],[TEMA DE CUSTO]],'[1]Apoio 2'!B:B,0))</f>
        <v>#N/A</v>
      </c>
      <c r="AA22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Row],[ABS]]&gt;0,CONCATENATE(AH22,Tab_CONTRATOS[[#This Row],[ABS]],Tab_CONTRATOS[[#This Row],[TXT DIA]]," para o vencimento")))),"Contrato Encerrado")</f>
        <v>Faltam 155 dias  para o vencimento</v>
      </c>
      <c r="AB22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22" s="29" t="str">
        <f>PROPER(TEXT(Tab_CONTRATOS[[#This Row],[FIM DA VIGÊNICA]],"Mmmm"))</f>
        <v>Novembro</v>
      </c>
      <c r="AD22" s="29">
        <f>YEAR(Tab_CONTRATOS[[#This Row],[FIM DA VIGÊNICA]])</f>
        <v>2017</v>
      </c>
      <c r="AE22" s="44">
        <f ca="1">IF(Tab_CONTRATOS[[#This Row],[ENCERRADO]]="Sim","***",Tab_CONTRATOS[[#This Row],[FIM DA VIGÊNICA]]-TODAY())</f>
        <v>155</v>
      </c>
      <c r="AF22" s="30">
        <f ca="1">IF(Tab_CONTRATOS[[#This Row],[ENCERRADO]]="Sim","***",ABS(Tab_CONTRATOS[[#This Row],[DIF DIAS]]))</f>
        <v>155</v>
      </c>
      <c r="AG22" s="28" t="str">
        <f ca="1">IF(Tab_CONTRATOS[[#This Row],[ENCERRADO]]="Sim","***",IF(Tab_CONTRATOS[[#This Row],[DIF DIAS]]=1," dia ",IF(Tab_CONTRATOS[[#This Row],[DIF DIAS]]&lt;&gt;0," dias ")))</f>
        <v xml:space="preserve"> dias </v>
      </c>
      <c r="AH22" s="28" t="str">
        <f ca="1">IF(Tab_CONTRATOS[[#This Row],[ENCERRADO]]="Sim","***",IF(Tab_CONTRATOS[[#This Row],[DIF DIAS]]=1,"Falta ",IF(Tab_CONTRATOS[[#This Row],[DIF DIAS]]&lt;&gt;0,"Faltam ")))</f>
        <v xml:space="preserve">Faltam </v>
      </c>
      <c r="AI22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22" s="45" t="s">
        <v>62</v>
      </c>
      <c r="AK22" s="20"/>
      <c r="AL22" s="20"/>
      <c r="AM22" s="31"/>
      <c r="AN22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2" s="46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399767.61000000004</v>
      </c>
      <c r="AP22" s="20" t="s">
        <v>58</v>
      </c>
      <c r="AQ22" s="28">
        <f>Tab_CONTRATOS[[#This Row],[LIMITE DE MESES]]-Tab_CONTRATOS[[#This Row],[TOTAL DE MESES]]</f>
        <v>36</v>
      </c>
      <c r="AR22" s="28" t="s">
        <v>172</v>
      </c>
      <c r="AS22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22" s="20" t="s">
        <v>234</v>
      </c>
      <c r="AU22" s="20"/>
      <c r="AV22" s="20"/>
      <c r="AW22" s="20"/>
    </row>
    <row r="23" spans="1:51" ht="48.75" hidden="1" customHeight="1" x14ac:dyDescent="0.25">
      <c r="A23" s="18" t="s">
        <v>235</v>
      </c>
      <c r="B23" s="19">
        <v>2015</v>
      </c>
      <c r="C23" s="20" t="s">
        <v>236</v>
      </c>
      <c r="D23" s="21" t="s">
        <v>237</v>
      </c>
      <c r="E23" s="39" t="s">
        <v>238</v>
      </c>
      <c r="F23" s="18" t="s">
        <v>53</v>
      </c>
      <c r="G23" s="18" t="s">
        <v>95</v>
      </c>
      <c r="H23" s="18" t="s">
        <v>96</v>
      </c>
      <c r="I23" s="18"/>
      <c r="J23" s="18" t="s">
        <v>56</v>
      </c>
      <c r="K23" s="18" t="s">
        <v>57</v>
      </c>
      <c r="L23" s="22">
        <f>133222.3/12</f>
        <v>11101.858333333332</v>
      </c>
      <c r="M23" s="23">
        <f>IF(Tab_CONTRATOS[[#This Row],[INSTRUMENTO]]="","",Tab_CONTRATOS[[#This Row],[VALOR MENSAL]]*12)</f>
        <v>133222.29999999999</v>
      </c>
      <c r="N23" s="24">
        <v>42349</v>
      </c>
      <c r="O23" s="24">
        <v>42715</v>
      </c>
      <c r="P23" s="25" t="s">
        <v>58</v>
      </c>
      <c r="Q23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23" s="25">
        <v>60</v>
      </c>
      <c r="S23" s="43" t="s">
        <v>107</v>
      </c>
      <c r="T23" s="18" t="s">
        <v>78</v>
      </c>
      <c r="U23" s="20" t="s">
        <v>239</v>
      </c>
      <c r="V23" s="20"/>
      <c r="W23" s="27"/>
      <c r="X23" s="28" t="e">
        <f>INDEX('[1]Apoio 2'!B:B,MATCH(Tab_CONTRATOS[[#This Row],[ITEM]],'[1]Apoio 2'!A:A,0))</f>
        <v>#N/A</v>
      </c>
      <c r="Y23" s="28" t="e">
        <f>INDEX('[1]Apoio 2'!C:C,MATCH(Tab_CONTRATOS[[#This Row],[TEMA DE CUSTO]],'[1]Apoio 2'!B:B,0))</f>
        <v>#N/A</v>
      </c>
      <c r="Z23" s="28" t="e">
        <f>INDEX('[1]Apoio 2'!D:D,MATCH(Tab_CONTRATOS[[#This Row],[TEMA DE CUSTO]],'[1]Apoio 2'!B:B,0))</f>
        <v>#N/A</v>
      </c>
      <c r="AA23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Row],[ABS]]&gt;0,CONCATENATE(AH23,Tab_CONTRATOS[[#This Row],[ABS]],Tab_CONTRATOS[[#This Row],[TXT DIA]]," para o vencimento")))),"Contrato Encerrado")</f>
        <v>Contrato Encerrado</v>
      </c>
      <c r="AB23" s="29" t="str">
        <f>IF(Tab_CONTRATOS[[#This Row],[ENCERRADO]]="Sim","Encerrado",IF(Tab_CONTRATOS[[#This Row],[DIF DIAS]]&gt;=0,"Em Execução",IF(Tab_CONTRATOS[[#This Row],[DIF DIAS]]&lt;0,"Vencido","ERRO!")))</f>
        <v>Encerrado</v>
      </c>
      <c r="AC23" s="29" t="str">
        <f>PROPER(TEXT(Tab_CONTRATOS[[#This Row],[FIM DA VIGÊNICA]],"Mmmm"))</f>
        <v>Dezembro</v>
      </c>
      <c r="AD23" s="29">
        <f>YEAR(Tab_CONTRATOS[[#This Row],[FIM DA VIGÊNICA]])</f>
        <v>2016</v>
      </c>
      <c r="AE23" s="30" t="str">
        <f ca="1">IF(Tab_CONTRATOS[[#This Row],[ENCERRADO]]="Sim","***",Tab_CONTRATOS[[#This Row],[FIM DA VIGÊNICA]]-TODAY())</f>
        <v>***</v>
      </c>
      <c r="AF23" s="30" t="str">
        <f>IF(Tab_CONTRATOS[[#This Row],[ENCERRADO]]="Sim","***",ABS(Tab_CONTRATOS[[#This Row],[DIF DIAS]]))</f>
        <v>***</v>
      </c>
      <c r="AG23" s="28" t="str">
        <f>IF(Tab_CONTRATOS[[#This Row],[ENCERRADO]]="Sim","***",IF(Tab_CONTRATOS[[#This Row],[DIF DIAS]]=1," dia ",IF(Tab_CONTRATOS[[#This Row],[DIF DIAS]]&lt;&gt;0," dias ")))</f>
        <v>***</v>
      </c>
      <c r="AH23" s="28" t="str">
        <f>IF(Tab_CONTRATOS[[#This Row],[ENCERRADO]]="Sim","***",IF(Tab_CONTRATOS[[#This Row],[DIF DIAS]]=1,"Falta ",IF(Tab_CONTRATOS[[#This Row],[DIF DIAS]]&lt;&gt;0,"Faltam ")))</f>
        <v>***</v>
      </c>
      <c r="AI23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23" s="20" t="s">
        <v>71</v>
      </c>
      <c r="AK23" s="20" t="s">
        <v>240</v>
      </c>
      <c r="AL23" s="20"/>
      <c r="AM23" s="31"/>
      <c r="AN23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3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23" s="20" t="s">
        <v>58</v>
      </c>
      <c r="AQ23" s="28">
        <f>Tab_CONTRATOS[[#This Row],[LIMITE DE MESES]]-Tab_CONTRATOS[[#This Row],[TOTAL DE MESES]]</f>
        <v>48</v>
      </c>
      <c r="AR23" s="28"/>
      <c r="AS23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23" s="20" t="s">
        <v>241</v>
      </c>
      <c r="AU23" s="20"/>
      <c r="AV23" s="20"/>
      <c r="AW23" s="20"/>
    </row>
    <row r="24" spans="1:51" ht="48" hidden="1" customHeight="1" x14ac:dyDescent="0.25">
      <c r="A24" s="18" t="s">
        <v>242</v>
      </c>
      <c r="B24" s="19">
        <v>2016</v>
      </c>
      <c r="C24" s="20" t="s">
        <v>243</v>
      </c>
      <c r="D24" s="21" t="s">
        <v>244</v>
      </c>
      <c r="E24" s="39" t="s">
        <v>245</v>
      </c>
      <c r="F24" s="18" t="s">
        <v>53</v>
      </c>
      <c r="G24" s="18" t="s">
        <v>246</v>
      </c>
      <c r="H24" s="18" t="s">
        <v>247</v>
      </c>
      <c r="I24" s="18"/>
      <c r="J24" s="18" t="s">
        <v>56</v>
      </c>
      <c r="K24" s="18" t="s">
        <v>57</v>
      </c>
      <c r="L24" s="22">
        <f>676739.7/12</f>
        <v>56394.974999999999</v>
      </c>
      <c r="M24" s="23">
        <f>IF(Tab_CONTRATOS[[#This Row],[INSTRUMENTO]]="","",Tab_CONTRATOS[[#This Row],[VALOR MENSAL]]*12)</f>
        <v>676739.7</v>
      </c>
      <c r="N24" s="40">
        <v>42384</v>
      </c>
      <c r="O24" s="40">
        <v>42750</v>
      </c>
      <c r="P24" s="25" t="s">
        <v>58</v>
      </c>
      <c r="Q24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24" s="42">
        <v>60</v>
      </c>
      <c r="S24" s="43" t="s">
        <v>107</v>
      </c>
      <c r="T24" s="18" t="s">
        <v>78</v>
      </c>
      <c r="U24" s="20" t="s">
        <v>248</v>
      </c>
      <c r="V24" s="20"/>
      <c r="W24" s="27"/>
      <c r="X24" s="28" t="e">
        <f>INDEX('[1]Apoio 2'!B:B,MATCH(Tab_CONTRATOS[[#This Row],[ITEM]],'[1]Apoio 2'!A:A,0))</f>
        <v>#N/A</v>
      </c>
      <c r="Y24" s="28" t="e">
        <f>INDEX('[1]Apoio 2'!C:C,MATCH(Tab_CONTRATOS[[#This Row],[TEMA DE CUSTO]],'[1]Apoio 2'!B:B,0))</f>
        <v>#N/A</v>
      </c>
      <c r="Z24" s="28" t="e">
        <f>INDEX('[1]Apoio 2'!D:D,MATCH(Tab_CONTRATOS[[#This Row],[TEMA DE CUSTO]],'[1]Apoio 2'!B:B,0))</f>
        <v>#N/A</v>
      </c>
      <c r="AA24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Row],[ABS]]&gt;0,CONCATENATE(AH24,Tab_CONTRATOS[[#This Row],[ABS]],Tab_CONTRATOS[[#This Row],[TXT DIA]]," para o vencimento")))),"Contrato Encerrado")</f>
        <v>Contrato Encerrado</v>
      </c>
      <c r="AB24" s="29" t="str">
        <f>IF(Tab_CONTRATOS[[#This Row],[ENCERRADO]]="Sim","Encerrado",IF(Tab_CONTRATOS[[#This Row],[DIF DIAS]]&gt;=0,"Em Execução",IF(Tab_CONTRATOS[[#This Row],[DIF DIAS]]&lt;0,"Vencido","ERRO!")))</f>
        <v>Encerrado</v>
      </c>
      <c r="AC24" s="29" t="str">
        <f>PROPER(TEXT(Tab_CONTRATOS[[#This Row],[FIM DA VIGÊNICA]],"Mmmm"))</f>
        <v>Janeiro</v>
      </c>
      <c r="AD24" s="29">
        <f>YEAR(Tab_CONTRATOS[[#This Row],[FIM DA VIGÊNICA]])</f>
        <v>2017</v>
      </c>
      <c r="AE24" s="44" t="str">
        <f ca="1">IF(Tab_CONTRATOS[[#This Row],[ENCERRADO]]="Sim","***",Tab_CONTRATOS[[#This Row],[FIM DA VIGÊNICA]]-TODAY())</f>
        <v>***</v>
      </c>
      <c r="AF24" s="30" t="str">
        <f>IF(Tab_CONTRATOS[[#This Row],[ENCERRADO]]="Sim","***",ABS(Tab_CONTRATOS[[#This Row],[DIF DIAS]]))</f>
        <v>***</v>
      </c>
      <c r="AG24" s="28" t="str">
        <f>IF(Tab_CONTRATOS[[#This Row],[ENCERRADO]]="Sim","***",IF(Tab_CONTRATOS[[#This Row],[DIF DIAS]]=1," dia ",IF(Tab_CONTRATOS[[#This Row],[DIF DIAS]]&lt;&gt;0," dias ")))</f>
        <v>***</v>
      </c>
      <c r="AH24" s="28" t="str">
        <f>IF(Tab_CONTRATOS[[#This Row],[ENCERRADO]]="Sim","***",IF(Tab_CONTRATOS[[#This Row],[DIF DIAS]]=1,"Falta ",IF(Tab_CONTRATOS[[#This Row],[DIF DIAS]]&lt;&gt;0,"Faltam ")))</f>
        <v>***</v>
      </c>
      <c r="AI24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24" s="45" t="s">
        <v>62</v>
      </c>
      <c r="AK24" s="20" t="s">
        <v>249</v>
      </c>
      <c r="AL24" s="20"/>
      <c r="AM24" s="31"/>
      <c r="AN24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4" s="46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24" s="20" t="s">
        <v>58</v>
      </c>
      <c r="AQ24" s="28">
        <f>Tab_CONTRATOS[[#This Row],[LIMITE DE MESES]]-Tab_CONTRATOS[[#This Row],[TOTAL DE MESES]]</f>
        <v>48</v>
      </c>
      <c r="AR24" s="28"/>
      <c r="AS24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24" s="20" t="s">
        <v>110</v>
      </c>
      <c r="AU24" s="20"/>
      <c r="AV24" s="20"/>
      <c r="AW24" s="20"/>
      <c r="AY24" s="47"/>
    </row>
    <row r="25" spans="1:51" ht="105" hidden="1" x14ac:dyDescent="0.25">
      <c r="A25" s="71" t="s">
        <v>250</v>
      </c>
      <c r="B25" s="19">
        <v>2016</v>
      </c>
      <c r="C25" s="20" t="s">
        <v>251</v>
      </c>
      <c r="D25" s="21" t="s">
        <v>252</v>
      </c>
      <c r="E25" s="39" t="s">
        <v>253</v>
      </c>
      <c r="F25" s="18" t="s">
        <v>53</v>
      </c>
      <c r="G25" s="18" t="s">
        <v>54</v>
      </c>
      <c r="H25" s="18" t="s">
        <v>149</v>
      </c>
      <c r="I25" s="18"/>
      <c r="J25" s="18" t="s">
        <v>56</v>
      </c>
      <c r="K25" s="18" t="s">
        <v>57</v>
      </c>
      <c r="L25" s="22">
        <v>579.5</v>
      </c>
      <c r="M25" s="23">
        <f>IF(Tab_CONTRATOS[[#This Row],[INSTRUMENTO]]="","",Tab_CONTRATOS[[#This Row],[VALOR MENSAL]]*12)</f>
        <v>6954</v>
      </c>
      <c r="N25" s="24">
        <v>42719</v>
      </c>
      <c r="O25" s="24">
        <v>42839</v>
      </c>
      <c r="P25" s="25" t="s">
        <v>58</v>
      </c>
      <c r="Q25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4</v>
      </c>
      <c r="R25" s="25">
        <v>60</v>
      </c>
      <c r="S25" s="18" t="s">
        <v>161</v>
      </c>
      <c r="T25" s="18" t="s">
        <v>60</v>
      </c>
      <c r="U25" s="20" t="s">
        <v>254</v>
      </c>
      <c r="V25" s="20"/>
      <c r="W25" s="27"/>
      <c r="X25" s="28" t="e">
        <f>INDEX('[1]Apoio 2'!B:B,MATCH(Tab_CONTRATOS[[#This Row],[ITEM]],'[1]Apoio 2'!A:A,0))</f>
        <v>#N/A</v>
      </c>
      <c r="Y25" s="28" t="e">
        <f>INDEX('[1]Apoio 2'!C:C,MATCH(Tab_CONTRATOS[[#This Row],[TEMA DE CUSTO]],'[1]Apoio 2'!B:B,0))</f>
        <v>#N/A</v>
      </c>
      <c r="Z25" s="28" t="e">
        <f>INDEX('[1]Apoio 2'!D:D,MATCH(Tab_CONTRATOS[[#This Row],[TEMA DE CUSTO]],'[1]Apoio 2'!B:B,0))</f>
        <v>#N/A</v>
      </c>
      <c r="AA25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Row],[ABS]]&gt;0,CONCATENATE(AH25,Tab_CONTRATOS[[#This Row],[ABS]],Tab_CONTRATOS[[#This Row],[TXT DIA]]," para o vencimento")))),"Contrato Encerrado")</f>
        <v>Contrato Encerrado</v>
      </c>
      <c r="AB25" s="29" t="str">
        <f>IF(Tab_CONTRATOS[[#This Row],[ENCERRADO]]="Sim","Encerrado",IF(Tab_CONTRATOS[[#This Row],[DIF DIAS]]&gt;=0,"Em Execução",IF(Tab_CONTRATOS[[#This Row],[DIF DIAS]]&lt;0,"Vencido","ERRO!")))</f>
        <v>Encerrado</v>
      </c>
      <c r="AC25" s="29" t="str">
        <f>PROPER(TEXT(Tab_CONTRATOS[[#This Row],[FIM DA VIGÊNICA]],"Mmmm"))</f>
        <v>Abril</v>
      </c>
      <c r="AD25" s="29">
        <f>YEAR(Tab_CONTRATOS[[#This Row],[FIM DA VIGÊNICA]])</f>
        <v>2017</v>
      </c>
      <c r="AE25" s="30" t="str">
        <f ca="1">IF(Tab_CONTRATOS[[#This Row],[ENCERRADO]]="Sim","***",Tab_CONTRATOS[[#This Row],[FIM DA VIGÊNICA]]-TODAY())</f>
        <v>***</v>
      </c>
      <c r="AF25" s="30" t="str">
        <f>IF(Tab_CONTRATOS[[#This Row],[ENCERRADO]]="Sim","***",ABS(Tab_CONTRATOS[[#This Row],[DIF DIAS]]))</f>
        <v>***</v>
      </c>
      <c r="AG25" s="28" t="str">
        <f>IF(Tab_CONTRATOS[[#This Row],[ENCERRADO]]="Sim","***",IF(Tab_CONTRATOS[[#This Row],[DIF DIAS]]=1," dia ",IF(Tab_CONTRATOS[[#This Row],[DIF DIAS]]&lt;&gt;0," dias ")))</f>
        <v>***</v>
      </c>
      <c r="AH25" s="28" t="str">
        <f>IF(Tab_CONTRATOS[[#This Row],[ENCERRADO]]="Sim","***",IF(Tab_CONTRATOS[[#This Row],[DIF DIAS]]=1,"Falta ",IF(Tab_CONTRATOS[[#This Row],[DIF DIAS]]&lt;&gt;0,"Faltam ")))</f>
        <v>***</v>
      </c>
      <c r="AI25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25" s="20" t="s">
        <v>71</v>
      </c>
      <c r="AK25" s="20" t="s">
        <v>255</v>
      </c>
      <c r="AL25" s="20"/>
      <c r="AM25" s="31"/>
      <c r="AN25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5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25" s="20" t="s">
        <v>58</v>
      </c>
      <c r="AQ25" s="28">
        <f>Tab_CONTRATOS[[#This Row],[LIMITE DE MESES]]-Tab_CONTRATOS[[#This Row],[TOTAL DE MESES]]</f>
        <v>56</v>
      </c>
      <c r="AR25" s="28"/>
      <c r="AS25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25" s="20" t="s">
        <v>256</v>
      </c>
      <c r="AU25" s="20"/>
      <c r="AV25" s="20" t="s">
        <v>257</v>
      </c>
      <c r="AW25" s="20"/>
    </row>
    <row r="26" spans="1:51" ht="46.5" customHeight="1" x14ac:dyDescent="0.25">
      <c r="A26" s="35" t="s">
        <v>258</v>
      </c>
      <c r="B26" s="19">
        <v>2016</v>
      </c>
      <c r="C26" s="20" t="s">
        <v>259</v>
      </c>
      <c r="D26" s="21" t="s">
        <v>260</v>
      </c>
      <c r="E26" s="39" t="s">
        <v>261</v>
      </c>
      <c r="F26" s="18" t="s">
        <v>53</v>
      </c>
      <c r="G26" s="18" t="s">
        <v>54</v>
      </c>
      <c r="H26" s="18" t="s">
        <v>149</v>
      </c>
      <c r="I26" s="18"/>
      <c r="J26" s="18" t="s">
        <v>56</v>
      </c>
      <c r="K26" s="18" t="s">
        <v>57</v>
      </c>
      <c r="L26" s="22">
        <f>30000/12</f>
        <v>2500</v>
      </c>
      <c r="M26" s="23">
        <f>IF(Tab_CONTRATOS[[#This Row],[INSTRUMENTO]]="","",Tab_CONTRATOS[[#This Row],[VALOR MENSAL]]*12)</f>
        <v>30000</v>
      </c>
      <c r="N26" s="24">
        <v>42501</v>
      </c>
      <c r="O26" s="24">
        <v>42866</v>
      </c>
      <c r="P26" s="25" t="s">
        <v>53</v>
      </c>
      <c r="Q26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26" s="25">
        <v>60</v>
      </c>
      <c r="S26" s="18" t="s">
        <v>262</v>
      </c>
      <c r="T26" s="18" t="s">
        <v>78</v>
      </c>
      <c r="U26" s="20" t="s">
        <v>263</v>
      </c>
      <c r="V26" s="20"/>
      <c r="W26" s="27"/>
      <c r="X26" s="28" t="e">
        <f>INDEX('[1]Apoio 2'!B:B,MATCH(Tab_CONTRATOS[[#This Row],[ITEM]],'[1]Apoio 2'!A:A,0))</f>
        <v>#N/A</v>
      </c>
      <c r="Y26" s="28" t="e">
        <f>INDEX('[1]Apoio 2'!C:C,MATCH(Tab_CONTRATOS[[#This Row],[TEMA DE CUSTO]],'[1]Apoio 2'!B:B,0))</f>
        <v>#N/A</v>
      </c>
      <c r="Z26" s="28" t="e">
        <f>INDEX('[1]Apoio 2'!D:D,MATCH(Tab_CONTRATOS[[#This Row],[TEMA DE CUSTO]],'[1]Apoio 2'!B:B,0))</f>
        <v>#N/A</v>
      </c>
      <c r="AA26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Row],[ABS]]&gt;0,CONCATENATE(AH26,Tab_CONTRATOS[[#This Row],[ABS]],Tab_CONTRATOS[[#This Row],[TXT DIA]]," para o vencimento")))),"Contrato Encerrado")</f>
        <v xml:space="preserve">Vencido há 19 dias </v>
      </c>
      <c r="AB26" s="29" t="str">
        <f ca="1">IF(Tab_CONTRATOS[[#This Row],[ENCERRADO]]="Sim","Encerrado",IF(Tab_CONTRATOS[[#This Row],[DIF DIAS]]&gt;=0,"Em Execução",IF(Tab_CONTRATOS[[#This Row],[DIF DIAS]]&lt;0,"Vencido","ERRO!")))</f>
        <v>Vencido</v>
      </c>
      <c r="AC26" s="29" t="str">
        <f>PROPER(TEXT(Tab_CONTRATOS[[#This Row],[FIM DA VIGÊNICA]],"Mmmm"))</f>
        <v>Maio</v>
      </c>
      <c r="AD26" s="29">
        <f>YEAR(Tab_CONTRATOS[[#This Row],[FIM DA VIGÊNICA]])</f>
        <v>2017</v>
      </c>
      <c r="AE26" s="30">
        <f ca="1">IF(Tab_CONTRATOS[[#This Row],[ENCERRADO]]="Sim","***",Tab_CONTRATOS[[#This Row],[FIM DA VIGÊNICA]]-TODAY())</f>
        <v>-19</v>
      </c>
      <c r="AF26" s="30">
        <f ca="1">IF(Tab_CONTRATOS[[#This Row],[ENCERRADO]]="Sim","***",ABS(Tab_CONTRATOS[[#This Row],[DIF DIAS]]))</f>
        <v>19</v>
      </c>
      <c r="AG26" s="28" t="str">
        <f ca="1">IF(Tab_CONTRATOS[[#This Row],[ENCERRADO]]="Sim","***",IF(Tab_CONTRATOS[[#This Row],[DIF DIAS]]=1," dia ",IF(Tab_CONTRATOS[[#This Row],[DIF DIAS]]&lt;&gt;0," dias ")))</f>
        <v xml:space="preserve"> dias </v>
      </c>
      <c r="AH26" s="28" t="str">
        <f ca="1">IF(Tab_CONTRATOS[[#This Row],[ENCERRADO]]="Sim","***",IF(Tab_CONTRATOS[[#This Row],[DIF DIAS]]=1,"Falta ",IF(Tab_CONTRATOS[[#This Row],[DIF DIAS]]&lt;&gt;0,"Faltam ")))</f>
        <v xml:space="preserve">Faltam </v>
      </c>
      <c r="AI26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Vencido</v>
      </c>
      <c r="AJ26" s="20" t="s">
        <v>71</v>
      </c>
      <c r="AK26" s="20" t="s">
        <v>264</v>
      </c>
      <c r="AL26" s="20"/>
      <c r="AM26" s="31"/>
      <c r="AN26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6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12500</v>
      </c>
      <c r="AP26" s="20" t="s">
        <v>58</v>
      </c>
      <c r="AQ26" s="28">
        <f>Tab_CONTRATOS[[#This Row],[LIMITE DE MESES]]-Tab_CONTRATOS[[#This Row],[TOTAL DE MESES]]</f>
        <v>48</v>
      </c>
      <c r="AR26" s="28" t="s">
        <v>172</v>
      </c>
      <c r="AS26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26" s="20" t="s">
        <v>265</v>
      </c>
      <c r="AU26" s="20"/>
      <c r="AV26" s="20" t="s">
        <v>266</v>
      </c>
      <c r="AW26" s="20"/>
    </row>
    <row r="27" spans="1:51" ht="81" customHeight="1" x14ac:dyDescent="0.25">
      <c r="A27" s="38" t="s">
        <v>258</v>
      </c>
      <c r="B27" s="19">
        <v>2016</v>
      </c>
      <c r="C27" s="20" t="s">
        <v>267</v>
      </c>
      <c r="D27" s="21" t="s">
        <v>268</v>
      </c>
      <c r="E27" s="39" t="s">
        <v>269</v>
      </c>
      <c r="F27" s="18" t="s">
        <v>53</v>
      </c>
      <c r="G27" s="18" t="s">
        <v>95</v>
      </c>
      <c r="H27" s="18" t="s">
        <v>96</v>
      </c>
      <c r="I27" s="18"/>
      <c r="J27" s="18" t="s">
        <v>56</v>
      </c>
      <c r="K27" s="18" t="s">
        <v>57</v>
      </c>
      <c r="L27" s="22">
        <f>70000/12</f>
        <v>5833.333333333333</v>
      </c>
      <c r="M27" s="23">
        <f>IF(Tab_CONTRATOS[[#This Row],[INSTRUMENTO]]="","",Tab_CONTRATOS[[#This Row],[VALOR MENSAL]]*12)</f>
        <v>70000</v>
      </c>
      <c r="N27" s="24">
        <v>42430</v>
      </c>
      <c r="O27" s="24">
        <v>43160</v>
      </c>
      <c r="P27" s="25" t="s">
        <v>53</v>
      </c>
      <c r="Q27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27" s="25">
        <v>60</v>
      </c>
      <c r="S27" s="18" t="s">
        <v>270</v>
      </c>
      <c r="T27" s="18" t="s">
        <v>60</v>
      </c>
      <c r="U27" s="20" t="s">
        <v>271</v>
      </c>
      <c r="V27" s="20"/>
      <c r="W27" s="27"/>
      <c r="X27" s="28" t="e">
        <f>INDEX('[1]Apoio 2'!B:B,MATCH(Tab_CONTRATOS[[#This Row],[ITEM]],'[1]Apoio 2'!A:A,0))</f>
        <v>#N/A</v>
      </c>
      <c r="Y27" s="28" t="e">
        <f>INDEX('[1]Apoio 2'!C:C,MATCH(Tab_CONTRATOS[[#This Row],[TEMA DE CUSTO]],'[1]Apoio 2'!B:B,0))</f>
        <v>#N/A</v>
      </c>
      <c r="Z27" s="28" t="e">
        <f>INDEX('[1]Apoio 2'!D:D,MATCH(Tab_CONTRATOS[[#This Row],[TEMA DE CUSTO]],'[1]Apoio 2'!B:B,0))</f>
        <v>#N/A</v>
      </c>
      <c r="AA27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Row],[ABS]]&gt;0,CONCATENATE(AH27,Tab_CONTRATOS[[#This Row],[ABS]],Tab_CONTRATOS[[#This Row],[TXT DIA]]," para o vencimento")))),"Contrato Encerrado")</f>
        <v>Faltam 275 dias  para o vencimento</v>
      </c>
      <c r="AB27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27" s="29" t="str">
        <f>PROPER(TEXT(Tab_CONTRATOS[[#This Row],[FIM DA VIGÊNICA]],"Mmmm"))</f>
        <v>Março</v>
      </c>
      <c r="AD27" s="29">
        <f>YEAR(Tab_CONTRATOS[[#This Row],[FIM DA VIGÊNICA]])</f>
        <v>2018</v>
      </c>
      <c r="AE27" s="30">
        <f ca="1">IF(Tab_CONTRATOS[[#This Row],[ENCERRADO]]="Sim","***",Tab_CONTRATOS[[#This Row],[FIM DA VIGÊNICA]]-TODAY())</f>
        <v>275</v>
      </c>
      <c r="AF27" s="30">
        <f ca="1">IF(Tab_CONTRATOS[[#This Row],[ENCERRADO]]="Sim","***",ABS(Tab_CONTRATOS[[#This Row],[DIF DIAS]]))</f>
        <v>275</v>
      </c>
      <c r="AG27" s="28" t="str">
        <f ca="1">IF(Tab_CONTRATOS[[#This Row],[ENCERRADO]]="Sim","***",IF(Tab_CONTRATOS[[#This Row],[DIF DIAS]]=1," dia ",IF(Tab_CONTRATOS[[#This Row],[DIF DIAS]]&lt;&gt;0," dias ")))</f>
        <v xml:space="preserve"> dias </v>
      </c>
      <c r="AH27" s="28" t="str">
        <f ca="1">IF(Tab_CONTRATOS[[#This Row],[ENCERRADO]]="Sim","***",IF(Tab_CONTRATOS[[#This Row],[DIF DIAS]]=1,"Falta ",IF(Tab_CONTRATOS[[#This Row],[DIF DIAS]]&lt;&gt;0,"Faltam ")))</f>
        <v xml:space="preserve">Faltam </v>
      </c>
      <c r="AI27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27" s="20" t="s">
        <v>71</v>
      </c>
      <c r="AK27" s="20" t="s">
        <v>272</v>
      </c>
      <c r="AL27" s="20"/>
      <c r="AM27" s="31"/>
      <c r="AN27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7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70000</v>
      </c>
      <c r="AP27" s="20" t="s">
        <v>58</v>
      </c>
      <c r="AQ27" s="28">
        <f>Tab_CONTRATOS[[#This Row],[LIMITE DE MESES]]-Tab_CONTRATOS[[#This Row],[TOTAL DE MESES]]</f>
        <v>36</v>
      </c>
      <c r="AR27" s="28"/>
      <c r="AS27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27" s="20" t="s">
        <v>273</v>
      </c>
      <c r="AU27" s="20"/>
      <c r="AV27" s="20"/>
      <c r="AW27" s="20"/>
    </row>
    <row r="28" spans="1:51" ht="38.25" customHeight="1" x14ac:dyDescent="0.25">
      <c r="A28" s="35" t="s">
        <v>274</v>
      </c>
      <c r="B28" s="19">
        <v>2016</v>
      </c>
      <c r="C28" s="20" t="s">
        <v>275</v>
      </c>
      <c r="D28" s="21" t="s">
        <v>276</v>
      </c>
      <c r="E28" s="39" t="s">
        <v>277</v>
      </c>
      <c r="F28" s="18" t="s">
        <v>53</v>
      </c>
      <c r="G28" s="18" t="s">
        <v>95</v>
      </c>
      <c r="H28" s="18" t="s">
        <v>96</v>
      </c>
      <c r="I28" s="18"/>
      <c r="J28" s="18" t="s">
        <v>56</v>
      </c>
      <c r="K28" s="18" t="s">
        <v>57</v>
      </c>
      <c r="L28" s="22">
        <f>31069.44/12</f>
        <v>2589.12</v>
      </c>
      <c r="M28" s="23">
        <f>IF(Tab_CONTRATOS[[#This Row],[INSTRUMENTO]]="","",Tab_CONTRATOS[[#This Row],[VALOR MENSAL]]*12)</f>
        <v>31069.439999999999</v>
      </c>
      <c r="N28" s="24">
        <v>42502</v>
      </c>
      <c r="O28" s="24">
        <v>42867</v>
      </c>
      <c r="P28" s="25" t="s">
        <v>53</v>
      </c>
      <c r="Q28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28" s="25">
        <v>60</v>
      </c>
      <c r="S28" s="18" t="s">
        <v>107</v>
      </c>
      <c r="T28" s="18" t="s">
        <v>60</v>
      </c>
      <c r="U28" s="20" t="s">
        <v>278</v>
      </c>
      <c r="V28" s="20" t="s">
        <v>279</v>
      </c>
      <c r="W28" s="27"/>
      <c r="X28" s="28" t="e">
        <f>INDEX('[1]Apoio 2'!B:B,MATCH(Tab_CONTRATOS[[#This Row],[ITEM]],'[1]Apoio 2'!A:A,0))</f>
        <v>#N/A</v>
      </c>
      <c r="Y28" s="28" t="e">
        <f>INDEX('[1]Apoio 2'!C:C,MATCH(Tab_CONTRATOS[[#This Row],[TEMA DE CUSTO]],'[1]Apoio 2'!B:B,0))</f>
        <v>#N/A</v>
      </c>
      <c r="Z28" s="28" t="e">
        <f>INDEX('[1]Apoio 2'!D:D,MATCH(Tab_CONTRATOS[[#This Row],[TEMA DE CUSTO]],'[1]Apoio 2'!B:B,0))</f>
        <v>#N/A</v>
      </c>
      <c r="AA28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Row],[ABS]]&gt;0,CONCATENATE(AH28,Tab_CONTRATOS[[#This Row],[ABS]],Tab_CONTRATOS[[#This Row],[TXT DIA]]," para o vencimento")))),"Contrato Encerrado")</f>
        <v xml:space="preserve">Vencido há 18 dias </v>
      </c>
      <c r="AB28" s="29" t="str">
        <f ca="1">IF(Tab_CONTRATOS[[#This Row],[ENCERRADO]]="Sim","Encerrado",IF(Tab_CONTRATOS[[#This Row],[DIF DIAS]]&gt;=0,"Em Execução",IF(Tab_CONTRATOS[[#This Row],[DIF DIAS]]&lt;0,"Vencido","ERRO!")))</f>
        <v>Vencido</v>
      </c>
      <c r="AC28" s="29" t="str">
        <f>PROPER(TEXT(Tab_CONTRATOS[[#This Row],[FIM DA VIGÊNICA]],"Mmmm"))</f>
        <v>Maio</v>
      </c>
      <c r="AD28" s="29">
        <f>YEAR(Tab_CONTRATOS[[#This Row],[FIM DA VIGÊNICA]])</f>
        <v>2017</v>
      </c>
      <c r="AE28" s="30">
        <f ca="1">IF(Tab_CONTRATOS[[#This Row],[ENCERRADO]]="Sim","***",Tab_CONTRATOS[[#This Row],[FIM DA VIGÊNICA]]-TODAY())</f>
        <v>-18</v>
      </c>
      <c r="AF28" s="30">
        <f ca="1">IF(Tab_CONTRATOS[[#This Row],[ENCERRADO]]="Sim","***",ABS(Tab_CONTRATOS[[#This Row],[DIF DIAS]]))</f>
        <v>18</v>
      </c>
      <c r="AG28" s="28" t="str">
        <f ca="1">IF(Tab_CONTRATOS[[#This Row],[ENCERRADO]]="Sim","***",IF(Tab_CONTRATOS[[#This Row],[DIF DIAS]]=1," dia ",IF(Tab_CONTRATOS[[#This Row],[DIF DIAS]]&lt;&gt;0," dias ")))</f>
        <v xml:space="preserve"> dias </v>
      </c>
      <c r="AH28" s="28" t="str">
        <f ca="1">IF(Tab_CONTRATOS[[#This Row],[ENCERRADO]]="Sim","***",IF(Tab_CONTRATOS[[#This Row],[DIF DIAS]]=1,"Falta ",IF(Tab_CONTRATOS[[#This Row],[DIF DIAS]]&lt;&gt;0,"Faltam ")))</f>
        <v xml:space="preserve">Faltam </v>
      </c>
      <c r="AI28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Vencido</v>
      </c>
      <c r="AJ28" s="20" t="s">
        <v>71</v>
      </c>
      <c r="AK28" s="20" t="s">
        <v>280</v>
      </c>
      <c r="AL28" s="20"/>
      <c r="AM28" s="31">
        <v>42492</v>
      </c>
      <c r="AN28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Junho</v>
      </c>
      <c r="AO28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12945.599999999999</v>
      </c>
      <c r="AP28" s="20" t="s">
        <v>58</v>
      </c>
      <c r="AQ28" s="28">
        <f>Tab_CONTRATOS[[#This Row],[LIMITE DE MESES]]-Tab_CONTRATOS[[#This Row],[TOTAL DE MESES]]</f>
        <v>48</v>
      </c>
      <c r="AR28" s="28"/>
      <c r="AS28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28" s="20" t="s">
        <v>281</v>
      </c>
      <c r="AU28" s="20"/>
      <c r="AV28" s="36" t="s">
        <v>282</v>
      </c>
      <c r="AW28" s="20"/>
    </row>
    <row r="29" spans="1:51" ht="80.25" customHeight="1" x14ac:dyDescent="0.25">
      <c r="A29" s="38" t="s">
        <v>283</v>
      </c>
      <c r="B29" s="19">
        <v>2016</v>
      </c>
      <c r="C29" s="20" t="s">
        <v>284</v>
      </c>
      <c r="D29" s="21" t="s">
        <v>285</v>
      </c>
      <c r="E29" s="21" t="s">
        <v>286</v>
      </c>
      <c r="F29" s="18" t="s">
        <v>53</v>
      </c>
      <c r="G29" s="18" t="s">
        <v>115</v>
      </c>
      <c r="H29" s="18" t="s">
        <v>116</v>
      </c>
      <c r="I29" s="18"/>
      <c r="J29" s="18" t="s">
        <v>117</v>
      </c>
      <c r="K29" s="18" t="s">
        <v>57</v>
      </c>
      <c r="L29" s="22">
        <f>1998575.78/12</f>
        <v>166547.98166666666</v>
      </c>
      <c r="M29" s="23">
        <f>IF(Tab_CONTRATOS[[#This Row],[INSTRUMENTO]]="","",Tab_CONTRATOS[[#This Row],[VALOR MENSAL]]*12)</f>
        <v>1998575.7799999998</v>
      </c>
      <c r="N29" s="24">
        <v>42538</v>
      </c>
      <c r="O29" s="24">
        <v>42903</v>
      </c>
      <c r="P29" s="25" t="s">
        <v>53</v>
      </c>
      <c r="Q29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29" s="25">
        <v>60</v>
      </c>
      <c r="S29" s="43" t="s">
        <v>107</v>
      </c>
      <c r="T29" s="18" t="s">
        <v>60</v>
      </c>
      <c r="U29" s="20" t="s">
        <v>287</v>
      </c>
      <c r="V29" s="20"/>
      <c r="W29" s="27"/>
      <c r="X29" s="28" t="e">
        <f>INDEX('[1]Apoio 2'!B:B,MATCH(Tab_CONTRATOS[[#This Row],[ITEM]],'[1]Apoio 2'!A:A,0))</f>
        <v>#N/A</v>
      </c>
      <c r="Y29" s="28" t="e">
        <f>INDEX('[1]Apoio 2'!C:C,MATCH(Tab_CONTRATOS[[#This Row],[TEMA DE CUSTO]],'[1]Apoio 2'!B:B,0))</f>
        <v>#N/A</v>
      </c>
      <c r="Z29" s="28" t="e">
        <f>INDEX('[1]Apoio 2'!D:D,MATCH(Tab_CONTRATOS[[#This Row],[TEMA DE CUSTO]],'[1]Apoio 2'!B:B,0))</f>
        <v>#N/A</v>
      </c>
      <c r="AA29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Row],[ABS]]&gt;0,CONCATENATE(AH29,Tab_CONTRATOS[[#This Row],[ABS]],Tab_CONTRATOS[[#This Row],[TXT DIA]]," para o vencimento")))),"Contrato Encerrado")</f>
        <v>Faltam 18 dias  para o vencimento</v>
      </c>
      <c r="AB29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29" s="29" t="str">
        <f>PROPER(TEXT(Tab_CONTRATOS[[#This Row],[FIM DA VIGÊNICA]],"Mmmm"))</f>
        <v>Junho</v>
      </c>
      <c r="AD29" s="29">
        <f>YEAR(Tab_CONTRATOS[[#This Row],[FIM DA VIGÊNICA]])</f>
        <v>2017</v>
      </c>
      <c r="AE29" s="30">
        <f ca="1">IF(Tab_CONTRATOS[[#This Row],[ENCERRADO]]="Sim","***",Tab_CONTRATOS[[#This Row],[FIM DA VIGÊNICA]]-TODAY())</f>
        <v>18</v>
      </c>
      <c r="AF29" s="30">
        <f ca="1">IF(Tab_CONTRATOS[[#This Row],[ENCERRADO]]="Sim","***",ABS(Tab_CONTRATOS[[#This Row],[DIF DIAS]]))</f>
        <v>18</v>
      </c>
      <c r="AG29" s="28" t="str">
        <f ca="1">IF(Tab_CONTRATOS[[#This Row],[ENCERRADO]]="Sim","***",IF(Tab_CONTRATOS[[#This Row],[DIF DIAS]]=1," dia ",IF(Tab_CONTRATOS[[#This Row],[DIF DIAS]]&lt;&gt;0," dias ")))</f>
        <v xml:space="preserve"> dias </v>
      </c>
      <c r="AH29" s="28" t="str">
        <f ca="1">IF(Tab_CONTRATOS[[#This Row],[ENCERRADO]]="Sim","***",IF(Tab_CONTRATOS[[#This Row],[DIF DIAS]]=1,"Falta ",IF(Tab_CONTRATOS[[#This Row],[DIF DIAS]]&lt;&gt;0,"Faltam ")))</f>
        <v xml:space="preserve">Faltam </v>
      </c>
      <c r="AI29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Até 30 dias</v>
      </c>
      <c r="AJ29" s="20" t="s">
        <v>62</v>
      </c>
      <c r="AK29" s="20" t="s">
        <v>288</v>
      </c>
      <c r="AL29" s="20"/>
      <c r="AM29" s="31"/>
      <c r="AN29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29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999287.8899999999</v>
      </c>
      <c r="AP29" s="20" t="s">
        <v>58</v>
      </c>
      <c r="AQ29" s="28">
        <f>Tab_CONTRATOS[[#This Row],[LIMITE DE MESES]]-Tab_CONTRATOS[[#This Row],[TOTAL DE MESES]]</f>
        <v>48</v>
      </c>
      <c r="AR29" s="28"/>
      <c r="AS29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29" s="20" t="s">
        <v>289</v>
      </c>
      <c r="AU29" s="20"/>
      <c r="AV29" s="36" t="s">
        <v>290</v>
      </c>
      <c r="AW29" s="20"/>
    </row>
    <row r="30" spans="1:51" ht="33" customHeight="1" x14ac:dyDescent="0.25">
      <c r="A30" s="35" t="s">
        <v>291</v>
      </c>
      <c r="B30" s="19">
        <v>2016</v>
      </c>
      <c r="C30" s="20" t="s">
        <v>292</v>
      </c>
      <c r="D30" s="21" t="s">
        <v>293</v>
      </c>
      <c r="E30" s="39" t="s">
        <v>294</v>
      </c>
      <c r="F30" s="18" t="s">
        <v>58</v>
      </c>
      <c r="G30" s="18" t="s">
        <v>95</v>
      </c>
      <c r="H30" s="18" t="s">
        <v>96</v>
      </c>
      <c r="I30" s="18"/>
      <c r="J30" s="18" t="s">
        <v>56</v>
      </c>
      <c r="K30" s="18" t="s">
        <v>57</v>
      </c>
      <c r="L30" s="22">
        <v>91422.54</v>
      </c>
      <c r="M30" s="23">
        <f>IF(Tab_CONTRATOS[[#This Row],[INSTRUMENTO]]="","",Tab_CONTRATOS[[#This Row],[VALOR MENSAL]]*12)</f>
        <v>1097070.48</v>
      </c>
      <c r="N30" s="24">
        <v>42613</v>
      </c>
      <c r="O30" s="24">
        <v>42978</v>
      </c>
      <c r="P30" s="25" t="s">
        <v>53</v>
      </c>
      <c r="Q30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0" s="25">
        <v>60</v>
      </c>
      <c r="S30" s="18" t="s">
        <v>107</v>
      </c>
      <c r="T30" s="18" t="s">
        <v>60</v>
      </c>
      <c r="U30" s="20" t="s">
        <v>295</v>
      </c>
      <c r="V30" s="20"/>
      <c r="W30" s="27"/>
      <c r="X30" s="28" t="e">
        <f>INDEX('[1]Apoio 2'!B:B,MATCH(Tab_CONTRATOS[[#This Row],[ITEM]],'[1]Apoio 2'!A:A,0))</f>
        <v>#N/A</v>
      </c>
      <c r="Y30" s="28" t="e">
        <f>INDEX('[1]Apoio 2'!C:C,MATCH(Tab_CONTRATOS[[#This Row],[TEMA DE CUSTO]],'[1]Apoio 2'!B:B,0))</f>
        <v>#N/A</v>
      </c>
      <c r="Z30" s="28" t="e">
        <f>INDEX('[1]Apoio 2'!D:D,MATCH(Tab_CONTRATOS[[#This Row],[TEMA DE CUSTO]],'[1]Apoio 2'!B:B,0))</f>
        <v>#N/A</v>
      </c>
      <c r="AA30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Row],[ABS]]&gt;0,CONCATENATE(AH30,Tab_CONTRATOS[[#This Row],[ABS]],Tab_CONTRATOS[[#This Row],[TXT DIA]]," para o vencimento")))),"Contrato Encerrado")</f>
        <v>Faltam 93 dias  para o vencimento</v>
      </c>
      <c r="AB30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0" s="29" t="str">
        <f>PROPER(TEXT(Tab_CONTRATOS[[#This Row],[FIM DA VIGÊNICA]],"Mmmm"))</f>
        <v>Agosto</v>
      </c>
      <c r="AD30" s="29">
        <f>YEAR(Tab_CONTRATOS[[#This Row],[FIM DA VIGÊNICA]])</f>
        <v>2017</v>
      </c>
      <c r="AE30" s="30">
        <f ca="1">IF(Tab_CONTRATOS[[#This Row],[ENCERRADO]]="Sim","***",Tab_CONTRATOS[[#This Row],[FIM DA VIGÊNICA]]-TODAY())</f>
        <v>93</v>
      </c>
      <c r="AF30" s="30">
        <f ca="1">IF(Tab_CONTRATOS[[#This Row],[ENCERRADO]]="Sim","***",ABS(Tab_CONTRATOS[[#This Row],[DIF DIAS]]))</f>
        <v>93</v>
      </c>
      <c r="AG30" s="28" t="str">
        <f ca="1">IF(Tab_CONTRATOS[[#This Row],[ENCERRADO]]="Sim","***",IF(Tab_CONTRATOS[[#This Row],[DIF DIAS]]=1," dia ",IF(Tab_CONTRATOS[[#This Row],[DIF DIAS]]&lt;&gt;0," dias ")))</f>
        <v xml:space="preserve"> dias </v>
      </c>
      <c r="AH30" s="28" t="str">
        <f ca="1">IF(Tab_CONTRATOS[[#This Row],[ENCERRADO]]="Sim","***",IF(Tab_CONTRATOS[[#This Row],[DIF DIAS]]=1,"Falta ",IF(Tab_CONTRATOS[[#This Row],[DIF DIAS]]&lt;&gt;0,"Faltam ")))</f>
        <v xml:space="preserve">Faltam </v>
      </c>
      <c r="AI30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0" s="20" t="s">
        <v>62</v>
      </c>
      <c r="AK30" s="20" t="s">
        <v>296</v>
      </c>
      <c r="AL30" s="20"/>
      <c r="AM30" s="31">
        <v>42605</v>
      </c>
      <c r="AN30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Setembro</v>
      </c>
      <c r="AO30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731380.32</v>
      </c>
      <c r="AP30" s="20" t="s">
        <v>58</v>
      </c>
      <c r="AQ30" s="28">
        <f>Tab_CONTRATOS[[#This Row],[LIMITE DE MESES]]-Tab_CONTRATOS[[#This Row],[TOTAL DE MESES]]</f>
        <v>48</v>
      </c>
      <c r="AR30" s="28"/>
      <c r="AS30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0" s="20" t="s">
        <v>297</v>
      </c>
      <c r="AU30" s="20"/>
      <c r="AV30" s="20" t="s">
        <v>298</v>
      </c>
      <c r="AW30" s="20"/>
    </row>
    <row r="31" spans="1:51" ht="44.25" customHeight="1" x14ac:dyDescent="0.25">
      <c r="A31" s="38" t="s">
        <v>299</v>
      </c>
      <c r="B31" s="19">
        <v>2016</v>
      </c>
      <c r="C31" s="20" t="s">
        <v>300</v>
      </c>
      <c r="D31" s="21" t="s">
        <v>301</v>
      </c>
      <c r="E31" s="39" t="s">
        <v>302</v>
      </c>
      <c r="F31" s="18" t="s">
        <v>53</v>
      </c>
      <c r="G31" s="18" t="s">
        <v>54</v>
      </c>
      <c r="H31" s="18" t="s">
        <v>55</v>
      </c>
      <c r="I31" s="18"/>
      <c r="J31" s="18" t="s">
        <v>56</v>
      </c>
      <c r="K31" s="18" t="s">
        <v>57</v>
      </c>
      <c r="L31" s="22">
        <v>1295</v>
      </c>
      <c r="M31" s="23">
        <f>IF(Tab_CONTRATOS[[#This Row],[INSTRUMENTO]]="","",Tab_CONTRATOS[[#This Row],[VALOR MENSAL]]*12)</f>
        <v>15540</v>
      </c>
      <c r="N31" s="24">
        <v>42640</v>
      </c>
      <c r="O31" s="24">
        <v>43005</v>
      </c>
      <c r="P31" s="25" t="s">
        <v>53</v>
      </c>
      <c r="Q31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1" s="25">
        <v>60</v>
      </c>
      <c r="S31" s="18" t="s">
        <v>107</v>
      </c>
      <c r="T31" s="18" t="s">
        <v>60</v>
      </c>
      <c r="U31" s="20"/>
      <c r="V31" s="20"/>
      <c r="W31" s="27"/>
      <c r="X31" s="28" t="e">
        <f>INDEX('[1]Apoio 2'!B:B,MATCH(Tab_CONTRATOS[[#This Row],[ITEM]],'[1]Apoio 2'!A:A,0))</f>
        <v>#N/A</v>
      </c>
      <c r="Y31" s="28" t="e">
        <f>INDEX('[1]Apoio 2'!C:C,MATCH(Tab_CONTRATOS[[#This Row],[TEMA DE CUSTO]],'[1]Apoio 2'!B:B,0))</f>
        <v>#N/A</v>
      </c>
      <c r="Z31" s="28" t="e">
        <f>INDEX('[1]Apoio 2'!D:D,MATCH(Tab_CONTRATOS[[#This Row],[TEMA DE CUSTO]],'[1]Apoio 2'!B:B,0))</f>
        <v>#N/A</v>
      </c>
      <c r="AA31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Row],[ABS]]&gt;0,CONCATENATE(AH31,Tab_CONTRATOS[[#This Row],[ABS]],Tab_CONTRATOS[[#This Row],[TXT DIA]]," para o vencimento")))),"Contrato Encerrado")</f>
        <v>Faltam 120 dias  para o vencimento</v>
      </c>
      <c r="AB31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1" s="29" t="str">
        <f>PROPER(TEXT(Tab_CONTRATOS[[#This Row],[FIM DA VIGÊNICA]],"Mmmm"))</f>
        <v>Setembro</v>
      </c>
      <c r="AD31" s="29">
        <f>YEAR(Tab_CONTRATOS[[#This Row],[FIM DA VIGÊNICA]])</f>
        <v>2017</v>
      </c>
      <c r="AE31" s="30">
        <f ca="1">IF(Tab_CONTRATOS[[#This Row],[ENCERRADO]]="Sim","***",Tab_CONTRATOS[[#This Row],[FIM DA VIGÊNICA]]-TODAY())</f>
        <v>120</v>
      </c>
      <c r="AF31" s="30">
        <f ca="1">IF(Tab_CONTRATOS[[#This Row],[ENCERRADO]]="Sim","***",ABS(Tab_CONTRATOS[[#This Row],[DIF DIAS]]))</f>
        <v>120</v>
      </c>
      <c r="AG31" s="28" t="str">
        <f ca="1">IF(Tab_CONTRATOS[[#This Row],[ENCERRADO]]="Sim","***",IF(Tab_CONTRATOS[[#This Row],[DIF DIAS]]=1," dia ",IF(Tab_CONTRATOS[[#This Row],[DIF DIAS]]&lt;&gt;0," dias ")))</f>
        <v xml:space="preserve"> dias </v>
      </c>
      <c r="AH31" s="28" t="str">
        <f ca="1">IF(Tab_CONTRATOS[[#This Row],[ENCERRADO]]="Sim","***",IF(Tab_CONTRATOS[[#This Row],[DIF DIAS]]=1,"Falta ",IF(Tab_CONTRATOS[[#This Row],[DIF DIAS]]&lt;&gt;0,"Faltam ")))</f>
        <v xml:space="preserve">Faltam </v>
      </c>
      <c r="AI31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1" s="20" t="s">
        <v>303</v>
      </c>
      <c r="AK31" s="20" t="s">
        <v>304</v>
      </c>
      <c r="AL31" s="20"/>
      <c r="AM31" s="31"/>
      <c r="AN31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1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11655</v>
      </c>
      <c r="AP31" s="20" t="s">
        <v>58</v>
      </c>
      <c r="AQ31" s="28">
        <f>Tab_CONTRATOS[[#This Row],[LIMITE DE MESES]]-Tab_CONTRATOS[[#This Row],[TOTAL DE MESES]]</f>
        <v>48</v>
      </c>
      <c r="AR31" s="28"/>
      <c r="AS31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1" s="20" t="s">
        <v>305</v>
      </c>
      <c r="AU31" s="20"/>
      <c r="AV31" s="20"/>
      <c r="AW31" s="20"/>
      <c r="AX31" s="37"/>
    </row>
    <row r="32" spans="1:51" ht="105" x14ac:dyDescent="0.25">
      <c r="A32" s="35" t="s">
        <v>306</v>
      </c>
      <c r="B32" s="19">
        <v>2016</v>
      </c>
      <c r="C32" s="20" t="s">
        <v>307</v>
      </c>
      <c r="D32" s="21" t="s">
        <v>308</v>
      </c>
      <c r="E32" s="39" t="s">
        <v>309</v>
      </c>
      <c r="F32" s="18" t="s">
        <v>53</v>
      </c>
      <c r="G32" s="18" t="s">
        <v>95</v>
      </c>
      <c r="H32" s="18" t="s">
        <v>96</v>
      </c>
      <c r="I32" s="18"/>
      <c r="J32" s="18" t="s">
        <v>56</v>
      </c>
      <c r="K32" s="18" t="s">
        <v>57</v>
      </c>
      <c r="L32" s="22">
        <f>179495/12</f>
        <v>14957.916666666666</v>
      </c>
      <c r="M32" s="23">
        <f>IF(Tab_CONTRATOS[[#This Row],[INSTRUMENTO]]="","",Tab_CONTRATOS[[#This Row],[VALOR MENSAL]]*12)</f>
        <v>179495</v>
      </c>
      <c r="N32" s="24">
        <v>42681</v>
      </c>
      <c r="O32" s="24">
        <v>43046</v>
      </c>
      <c r="P32" s="25" t="s">
        <v>53</v>
      </c>
      <c r="Q32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2" s="42">
        <v>60</v>
      </c>
      <c r="S32" s="43" t="s">
        <v>107</v>
      </c>
      <c r="T32" s="18" t="s">
        <v>78</v>
      </c>
      <c r="U32" s="20" t="s">
        <v>310</v>
      </c>
      <c r="V32" s="20"/>
      <c r="W32" s="27"/>
      <c r="X32" s="28" t="e">
        <f>INDEX('[1]Apoio 2'!B:B,MATCH(Tab_CONTRATOS[[#This Row],[ITEM]],'[1]Apoio 2'!A:A,0))</f>
        <v>#N/A</v>
      </c>
      <c r="Y32" s="28" t="e">
        <f>INDEX('[1]Apoio 2'!C:C,MATCH(Tab_CONTRATOS[[#This Row],[TEMA DE CUSTO]],'[1]Apoio 2'!B:B,0))</f>
        <v>#N/A</v>
      </c>
      <c r="Z32" s="28" t="e">
        <f>INDEX('[1]Apoio 2'!D:D,MATCH(Tab_CONTRATOS[[#This Row],[TEMA DE CUSTO]],'[1]Apoio 2'!B:B,0))</f>
        <v>#N/A</v>
      </c>
      <c r="AA32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Row],[ABS]]&gt;0,CONCATENATE(AH32,Tab_CONTRATOS[[#This Row],[ABS]],Tab_CONTRATOS[[#This Row],[TXT DIA]]," para o vencimento")))),"Contrato Encerrado")</f>
        <v>Faltam 161 dias  para o vencimento</v>
      </c>
      <c r="AB32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2" s="29" t="str">
        <f>PROPER(TEXT(Tab_CONTRATOS[[#This Row],[FIM DA VIGÊNICA]],"Mmmm"))</f>
        <v>Novembro</v>
      </c>
      <c r="AD32" s="29">
        <f>YEAR(Tab_CONTRATOS[[#This Row],[FIM DA VIGÊNICA]])</f>
        <v>2017</v>
      </c>
      <c r="AE32" s="44">
        <f ca="1">IF(Tab_CONTRATOS[[#This Row],[ENCERRADO]]="Sim","***",Tab_CONTRATOS[[#This Row],[FIM DA VIGÊNICA]]-TODAY())</f>
        <v>161</v>
      </c>
      <c r="AF32" s="30">
        <f ca="1">IF(Tab_CONTRATOS[[#This Row],[ENCERRADO]]="Sim","***",ABS(Tab_CONTRATOS[[#This Row],[DIF DIAS]]))</f>
        <v>161</v>
      </c>
      <c r="AG32" s="28" t="str">
        <f ca="1">IF(Tab_CONTRATOS[[#This Row],[ENCERRADO]]="Sim","***",IF(Tab_CONTRATOS[[#This Row],[DIF DIAS]]=1," dia ",IF(Tab_CONTRATOS[[#This Row],[DIF DIAS]]&lt;&gt;0," dias ")))</f>
        <v xml:space="preserve"> dias </v>
      </c>
      <c r="AH32" s="28" t="str">
        <f ca="1">IF(Tab_CONTRATOS[[#This Row],[ENCERRADO]]="Sim","***",IF(Tab_CONTRATOS[[#This Row],[DIF DIAS]]=1,"Falta ",IF(Tab_CONTRATOS[[#This Row],[DIF DIAS]]&lt;&gt;0,"Faltam ")))</f>
        <v xml:space="preserve">Faltam </v>
      </c>
      <c r="AI32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2" s="20" t="s">
        <v>62</v>
      </c>
      <c r="AK32" s="20" t="s">
        <v>311</v>
      </c>
      <c r="AL32" s="20"/>
      <c r="AM32" s="31">
        <v>42664</v>
      </c>
      <c r="AN32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Novembro</v>
      </c>
      <c r="AO32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164537.08333333331</v>
      </c>
      <c r="AP32" s="20" t="s">
        <v>58</v>
      </c>
      <c r="AQ32" s="28">
        <f>Tab_CONTRATOS[[#This Row],[LIMITE DE MESES]]-Tab_CONTRATOS[[#This Row],[TOTAL DE MESES]]</f>
        <v>48</v>
      </c>
      <c r="AR32" s="28" t="s">
        <v>172</v>
      </c>
      <c r="AS32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2" s="20" t="s">
        <v>110</v>
      </c>
      <c r="AU32" s="20"/>
      <c r="AV32" s="20"/>
      <c r="AW32" s="20"/>
      <c r="AX32" s="47"/>
    </row>
    <row r="33" spans="1:49" ht="52.5" customHeight="1" x14ac:dyDescent="0.25">
      <c r="A33" s="38" t="s">
        <v>312</v>
      </c>
      <c r="B33" s="19">
        <v>2017</v>
      </c>
      <c r="C33" s="20" t="s">
        <v>313</v>
      </c>
      <c r="D33" s="21" t="s">
        <v>314</v>
      </c>
      <c r="E33" s="39" t="s">
        <v>315</v>
      </c>
      <c r="F33" s="18" t="s">
        <v>53</v>
      </c>
      <c r="G33" s="18" t="s">
        <v>115</v>
      </c>
      <c r="H33" s="18" t="s">
        <v>116</v>
      </c>
      <c r="I33" s="18"/>
      <c r="J33" s="18" t="s">
        <v>117</v>
      </c>
      <c r="K33" s="18" t="s">
        <v>57</v>
      </c>
      <c r="L33" s="22"/>
      <c r="M33" s="23">
        <f>IF(Tab_CONTRATOS[[#This Row],[INSTRUMENTO]]="","",Tab_CONTRATOS[[#This Row],[VALOR MENSAL]]*12)</f>
        <v>0</v>
      </c>
      <c r="N33" s="24">
        <v>42737</v>
      </c>
      <c r="O33" s="24">
        <v>43102</v>
      </c>
      <c r="P33" s="25" t="s">
        <v>53</v>
      </c>
      <c r="Q33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3" s="25">
        <v>60</v>
      </c>
      <c r="S33" s="18" t="s">
        <v>107</v>
      </c>
      <c r="T33" s="18" t="s">
        <v>78</v>
      </c>
      <c r="U33" s="20" t="s">
        <v>316</v>
      </c>
      <c r="V33" s="20"/>
      <c r="W33" s="27"/>
      <c r="X33" s="28" t="e">
        <f>INDEX('[1]Apoio 2'!B:B,MATCH(Tab_CONTRATOS[[#This Row],[ITEM]],'[1]Apoio 2'!A:A,0))</f>
        <v>#N/A</v>
      </c>
      <c r="Y33" s="28" t="e">
        <f>INDEX('[1]Apoio 2'!C:C,MATCH(Tab_CONTRATOS[[#This Row],[TEMA DE CUSTO]],'[1]Apoio 2'!B:B,0))</f>
        <v>#N/A</v>
      </c>
      <c r="Z33" s="28" t="e">
        <f>INDEX('[1]Apoio 2'!D:D,MATCH(Tab_CONTRATOS[[#This Row],[TEMA DE CUSTO]],'[1]Apoio 2'!B:B,0))</f>
        <v>#N/A</v>
      </c>
      <c r="AA33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Row],[ABS]]&gt;0,CONCATENATE(AH33,Tab_CONTRATOS[[#This Row],[ABS]],Tab_CONTRATOS[[#This Row],[TXT DIA]]," para o vencimento")))),"Contrato Encerrado")</f>
        <v>Faltam 217 dias  para o vencimento</v>
      </c>
      <c r="AB33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3" s="29" t="str">
        <f>PROPER(TEXT(Tab_CONTRATOS[[#This Row],[FIM DA VIGÊNICA]],"Mmmm"))</f>
        <v>Janeiro</v>
      </c>
      <c r="AD33" s="29">
        <f>YEAR(Tab_CONTRATOS[[#This Row],[FIM DA VIGÊNICA]])</f>
        <v>2018</v>
      </c>
      <c r="AE33" s="30">
        <f ca="1">IF(Tab_CONTRATOS[[#This Row],[ENCERRADO]]="Sim","***",Tab_CONTRATOS[[#This Row],[FIM DA VIGÊNICA]]-TODAY())</f>
        <v>217</v>
      </c>
      <c r="AF33" s="30">
        <f ca="1">IF(Tab_CONTRATOS[[#This Row],[ENCERRADO]]="Sim","***",ABS(Tab_CONTRATOS[[#This Row],[DIF DIAS]]))</f>
        <v>217</v>
      </c>
      <c r="AG33" s="28" t="str">
        <f ca="1">IF(Tab_CONTRATOS[[#This Row],[ENCERRADO]]="Sim","***",IF(Tab_CONTRATOS[[#This Row],[DIF DIAS]]=1," dia ",IF(Tab_CONTRATOS[[#This Row],[DIF DIAS]]&lt;&gt;0," dias ")))</f>
        <v xml:space="preserve"> dias </v>
      </c>
      <c r="AH33" s="28" t="str">
        <f ca="1">IF(Tab_CONTRATOS[[#This Row],[ENCERRADO]]="Sim","***",IF(Tab_CONTRATOS[[#This Row],[DIF DIAS]]=1,"Falta ",IF(Tab_CONTRATOS[[#This Row],[DIF DIAS]]&lt;&gt;0,"Faltam ")))</f>
        <v xml:space="preserve">Faltam </v>
      </c>
      <c r="AI33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3" s="20" t="s">
        <v>62</v>
      </c>
      <c r="AK33" s="20" t="s">
        <v>63</v>
      </c>
      <c r="AL33" s="20"/>
      <c r="AM33" s="31"/>
      <c r="AN33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3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33" s="20" t="s">
        <v>58</v>
      </c>
      <c r="AQ33" s="28">
        <f>Tab_CONTRATOS[[#This Row],[LIMITE DE MESES]]-Tab_CONTRATOS[[#This Row],[TOTAL DE MESES]]</f>
        <v>48</v>
      </c>
      <c r="AR33" s="28" t="s">
        <v>172</v>
      </c>
      <c r="AS33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3" s="20" t="s">
        <v>110</v>
      </c>
      <c r="AU33" s="20"/>
      <c r="AV33" s="20"/>
      <c r="AW33" s="20"/>
    </row>
    <row r="34" spans="1:49" ht="48" customHeight="1" x14ac:dyDescent="0.25">
      <c r="A34" s="35" t="s">
        <v>317</v>
      </c>
      <c r="B34" s="19">
        <v>2017</v>
      </c>
      <c r="C34" s="20" t="s">
        <v>318</v>
      </c>
      <c r="D34" s="21" t="s">
        <v>319</v>
      </c>
      <c r="E34" s="39" t="s">
        <v>320</v>
      </c>
      <c r="F34" s="18"/>
      <c r="G34" s="18" t="s">
        <v>321</v>
      </c>
      <c r="H34" s="18" t="s">
        <v>322</v>
      </c>
      <c r="I34" s="18"/>
      <c r="J34" s="18" t="s">
        <v>56</v>
      </c>
      <c r="K34" s="18" t="s">
        <v>57</v>
      </c>
      <c r="L34" s="22">
        <f>215849/12</f>
        <v>17987.416666666668</v>
      </c>
      <c r="M34" s="23">
        <f>IF(Tab_CONTRATOS[[#This Row],[INSTRUMENTO]]="","",Tab_CONTRATOS[[#This Row],[VALOR MENSAL]]*12)</f>
        <v>215849</v>
      </c>
      <c r="N34" s="24">
        <v>42776</v>
      </c>
      <c r="O34" s="24">
        <v>43141</v>
      </c>
      <c r="P34" s="25" t="s">
        <v>53</v>
      </c>
      <c r="Q34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4" s="25">
        <v>60</v>
      </c>
      <c r="S34" s="18"/>
      <c r="T34" s="18"/>
      <c r="U34" s="20"/>
      <c r="V34" s="20"/>
      <c r="W34" s="27"/>
      <c r="X34" s="28" t="e">
        <f>INDEX('[1]Apoio 2'!B:B,MATCH(Tab_CONTRATOS[[#This Row],[ITEM]],'[1]Apoio 2'!A:A,0))</f>
        <v>#N/A</v>
      </c>
      <c r="Y34" s="28" t="e">
        <f>INDEX('[1]Apoio 2'!C:C,MATCH(Tab_CONTRATOS[[#This Row],[TEMA DE CUSTO]],'[1]Apoio 2'!B:B,0))</f>
        <v>#N/A</v>
      </c>
      <c r="Z34" s="28" t="e">
        <f>INDEX('[1]Apoio 2'!D:D,MATCH(Tab_CONTRATOS[[#This Row],[TEMA DE CUSTO]],'[1]Apoio 2'!B:B,0))</f>
        <v>#N/A</v>
      </c>
      <c r="AA34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Row],[ABS]]&gt;0,CONCATENATE(AH34,Tab_CONTRATOS[[#This Row],[ABS]],Tab_CONTRATOS[[#This Row],[TXT DIA]]," para o vencimento")))),"Contrato Encerrado")</f>
        <v>Faltam 256 dias  para o vencimento</v>
      </c>
      <c r="AB34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4" s="29" t="str">
        <f>PROPER(TEXT(Tab_CONTRATOS[[#This Row],[FIM DA VIGÊNICA]],"Mmmm"))</f>
        <v>Fevereiro</v>
      </c>
      <c r="AD34" s="29">
        <f>YEAR(Tab_CONTRATOS[[#This Row],[FIM DA VIGÊNICA]])</f>
        <v>2018</v>
      </c>
      <c r="AE34" s="30">
        <f ca="1">IF(Tab_CONTRATOS[[#This Row],[ENCERRADO]]="Sim","***",Tab_CONTRATOS[[#This Row],[FIM DA VIGÊNICA]]-TODAY())</f>
        <v>256</v>
      </c>
      <c r="AF34" s="30">
        <f ca="1">IF(Tab_CONTRATOS[[#This Row],[ENCERRADO]]="Sim","***",ABS(Tab_CONTRATOS[[#This Row],[DIF DIAS]]))</f>
        <v>256</v>
      </c>
      <c r="AG34" s="28" t="str">
        <f ca="1">IF(Tab_CONTRATOS[[#This Row],[ENCERRADO]]="Sim","***",IF(Tab_CONTRATOS[[#This Row],[DIF DIAS]]=1," dia ",IF(Tab_CONTRATOS[[#This Row],[DIF DIAS]]&lt;&gt;0," dias ")))</f>
        <v xml:space="preserve"> dias </v>
      </c>
      <c r="AH34" s="28" t="str">
        <f ca="1">IF(Tab_CONTRATOS[[#This Row],[ENCERRADO]]="Sim","***",IF(Tab_CONTRATOS[[#This Row],[DIF DIAS]]=1,"Falta ",IF(Tab_CONTRATOS[[#This Row],[DIF DIAS]]&lt;&gt;0,"Faltam ")))</f>
        <v xml:space="preserve">Faltam </v>
      </c>
      <c r="AI34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4" s="20"/>
      <c r="AK34" s="20" t="s">
        <v>323</v>
      </c>
      <c r="AL34" s="20"/>
      <c r="AM34" s="31"/>
      <c r="AN34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4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215849</v>
      </c>
      <c r="AP34" s="20"/>
      <c r="AQ34" s="28">
        <f>Tab_CONTRATOS[[#This Row],[LIMITE DE MESES]]-Tab_CONTRATOS[[#This Row],[TOTAL DE MESES]]</f>
        <v>48</v>
      </c>
      <c r="AR34" s="28" t="s">
        <v>172</v>
      </c>
      <c r="AS34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4" s="20"/>
      <c r="AU34" s="20"/>
      <c r="AV34" s="20" t="s">
        <v>172</v>
      </c>
      <c r="AW34" s="20"/>
    </row>
    <row r="35" spans="1:49" ht="90" x14ac:dyDescent="0.25">
      <c r="A35" s="38" t="s">
        <v>324</v>
      </c>
      <c r="B35" s="19">
        <v>2017</v>
      </c>
      <c r="C35" s="20" t="s">
        <v>325</v>
      </c>
      <c r="D35" s="21" t="s">
        <v>326</v>
      </c>
      <c r="E35" s="39" t="s">
        <v>327</v>
      </c>
      <c r="F35" s="18" t="s">
        <v>53</v>
      </c>
      <c r="G35" s="18" t="s">
        <v>95</v>
      </c>
      <c r="H35" s="18" t="s">
        <v>96</v>
      </c>
      <c r="I35" s="18"/>
      <c r="J35" s="18" t="s">
        <v>56</v>
      </c>
      <c r="K35" s="18" t="s">
        <v>57</v>
      </c>
      <c r="L35" s="22">
        <f>144900/12</f>
        <v>12075</v>
      </c>
      <c r="M35" s="23">
        <f>IF(Tab_CONTRATOS[[#This Row],[INSTRUMENTO]]="","",Tab_CONTRATOS[[#This Row],[VALOR MENSAL]]*12)</f>
        <v>144900</v>
      </c>
      <c r="N35" s="24">
        <v>42781</v>
      </c>
      <c r="O35" s="24">
        <v>43146</v>
      </c>
      <c r="P35" s="25" t="s">
        <v>53</v>
      </c>
      <c r="Q35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5" s="25">
        <v>60</v>
      </c>
      <c r="S35" s="43" t="s">
        <v>107</v>
      </c>
      <c r="T35" s="18" t="s">
        <v>78</v>
      </c>
      <c r="U35" s="20" t="s">
        <v>328</v>
      </c>
      <c r="V35" s="20"/>
      <c r="W35" s="27"/>
      <c r="X35" s="28" t="e">
        <f>INDEX('[1]Apoio 2'!B:B,MATCH(Tab_CONTRATOS[[#This Row],[ITEM]],'[1]Apoio 2'!A:A,0))</f>
        <v>#N/A</v>
      </c>
      <c r="Y35" s="28" t="e">
        <f>INDEX('[1]Apoio 2'!C:C,MATCH(Tab_CONTRATOS[[#This Row],[TEMA DE CUSTO]],'[1]Apoio 2'!B:B,0))</f>
        <v>#N/A</v>
      </c>
      <c r="Z35" s="28" t="e">
        <f>INDEX('[1]Apoio 2'!D:D,MATCH(Tab_CONTRATOS[[#This Row],[TEMA DE CUSTO]],'[1]Apoio 2'!B:B,0))</f>
        <v>#N/A</v>
      </c>
      <c r="AA35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Row],[ABS]]&gt;0,CONCATENATE(AH35,Tab_CONTRATOS[[#This Row],[ABS]],Tab_CONTRATOS[[#This Row],[TXT DIA]]," para o vencimento")))),"Contrato Encerrado")</f>
        <v>Faltam 261 dias  para o vencimento</v>
      </c>
      <c r="AB35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5" s="29" t="str">
        <f>PROPER(TEXT(Tab_CONTRATOS[[#This Row],[FIM DA VIGÊNICA]],"Mmmm"))</f>
        <v>Fevereiro</v>
      </c>
      <c r="AD35" s="29">
        <f>YEAR(Tab_CONTRATOS[[#This Row],[FIM DA VIGÊNICA]])</f>
        <v>2018</v>
      </c>
      <c r="AE35" s="30">
        <f ca="1">IF(Tab_CONTRATOS[[#This Row],[ENCERRADO]]="Sim","***",Tab_CONTRATOS[[#This Row],[FIM DA VIGÊNICA]]-TODAY())</f>
        <v>261</v>
      </c>
      <c r="AF35" s="30">
        <f ca="1">IF(Tab_CONTRATOS[[#This Row],[ENCERRADO]]="Sim","***",ABS(Tab_CONTRATOS[[#This Row],[DIF DIAS]]))</f>
        <v>261</v>
      </c>
      <c r="AG35" s="28" t="str">
        <f ca="1">IF(Tab_CONTRATOS[[#This Row],[ENCERRADO]]="Sim","***",IF(Tab_CONTRATOS[[#This Row],[DIF DIAS]]=1," dia ",IF(Tab_CONTRATOS[[#This Row],[DIF DIAS]]&lt;&gt;0," dias ")))</f>
        <v xml:space="preserve"> dias </v>
      </c>
      <c r="AH35" s="28" t="str">
        <f ca="1">IF(Tab_CONTRATOS[[#This Row],[ENCERRADO]]="Sim","***",IF(Tab_CONTRATOS[[#This Row],[DIF DIAS]]=1,"Falta ",IF(Tab_CONTRATOS[[#This Row],[DIF DIAS]]&lt;&gt;0,"Faltam ")))</f>
        <v xml:space="preserve">Faltam </v>
      </c>
      <c r="AI35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5" s="20" t="s">
        <v>71</v>
      </c>
      <c r="AK35" s="20" t="s">
        <v>63</v>
      </c>
      <c r="AL35" s="20"/>
      <c r="AM35" s="31"/>
      <c r="AN35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5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144900</v>
      </c>
      <c r="AP35" s="20" t="s">
        <v>58</v>
      </c>
      <c r="AQ35" s="28">
        <f>Tab_CONTRATOS[[#This Row],[LIMITE DE MESES]]-Tab_CONTRATOS[[#This Row],[TOTAL DE MESES]]</f>
        <v>48</v>
      </c>
      <c r="AR35" s="28" t="s">
        <v>172</v>
      </c>
      <c r="AS35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5" s="20" t="s">
        <v>110</v>
      </c>
      <c r="AU35" s="20"/>
      <c r="AV35" s="20"/>
      <c r="AW35" s="20"/>
    </row>
    <row r="36" spans="1:49" ht="48" customHeight="1" x14ac:dyDescent="0.25">
      <c r="A36" s="35" t="s">
        <v>329</v>
      </c>
      <c r="B36" s="19">
        <v>2017</v>
      </c>
      <c r="C36" s="20" t="s">
        <v>330</v>
      </c>
      <c r="D36" s="21" t="s">
        <v>331</v>
      </c>
      <c r="E36" s="39" t="s">
        <v>332</v>
      </c>
      <c r="F36" s="18" t="s">
        <v>53</v>
      </c>
      <c r="G36" s="18" t="s">
        <v>54</v>
      </c>
      <c r="H36" s="18" t="s">
        <v>149</v>
      </c>
      <c r="I36" s="18"/>
      <c r="J36" s="18" t="s">
        <v>56</v>
      </c>
      <c r="K36" s="18" t="s">
        <v>57</v>
      </c>
      <c r="L36" s="22">
        <v>4279.75</v>
      </c>
      <c r="M36" s="23">
        <f>IF(Tab_CONTRATOS[[#This Row],[INSTRUMENTO]]="","",Tab_CONTRATOS[[#This Row],[VALOR MENSAL]]*12)</f>
        <v>51357</v>
      </c>
      <c r="N36" s="24">
        <v>42769</v>
      </c>
      <c r="O36" s="24">
        <v>43134</v>
      </c>
      <c r="P36" s="25" t="s">
        <v>53</v>
      </c>
      <c r="Q36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6" s="25">
        <v>60</v>
      </c>
      <c r="S36" s="18" t="s">
        <v>107</v>
      </c>
      <c r="T36" s="18" t="s">
        <v>60</v>
      </c>
      <c r="U36" s="20" t="s">
        <v>333</v>
      </c>
      <c r="V36" s="20"/>
      <c r="W36" s="27"/>
      <c r="X36" s="28" t="e">
        <f>INDEX('[1]Apoio 2'!B:B,MATCH(Tab_CONTRATOS[[#This Row],[ITEM]],'[1]Apoio 2'!A:A,0))</f>
        <v>#N/A</v>
      </c>
      <c r="Y36" s="28" t="e">
        <f>INDEX('[1]Apoio 2'!C:C,MATCH(Tab_CONTRATOS[[#This Row],[TEMA DE CUSTO]],'[1]Apoio 2'!B:B,0))</f>
        <v>#N/A</v>
      </c>
      <c r="Z36" s="28" t="e">
        <f>INDEX('[1]Apoio 2'!D:D,MATCH(Tab_CONTRATOS[[#This Row],[TEMA DE CUSTO]],'[1]Apoio 2'!B:B,0))</f>
        <v>#N/A</v>
      </c>
      <c r="AA36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Row],[ABS]]&gt;0,CONCATENATE(AH36,Tab_CONTRATOS[[#This Row],[ABS]],Tab_CONTRATOS[[#This Row],[TXT DIA]]," para o vencimento")))),"Contrato Encerrado")</f>
        <v>Faltam 249 dias  para o vencimento</v>
      </c>
      <c r="AB36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6" s="29" t="str">
        <f>PROPER(TEXT(Tab_CONTRATOS[[#This Row],[FIM DA VIGÊNICA]],"Mmmm"))</f>
        <v>Fevereiro</v>
      </c>
      <c r="AD36" s="29">
        <f>YEAR(Tab_CONTRATOS[[#This Row],[FIM DA VIGÊNICA]])</f>
        <v>2018</v>
      </c>
      <c r="AE36" s="30">
        <f ca="1">IF(Tab_CONTRATOS[[#This Row],[ENCERRADO]]="Sim","***",Tab_CONTRATOS[[#This Row],[FIM DA VIGÊNICA]]-TODAY())</f>
        <v>249</v>
      </c>
      <c r="AF36" s="30">
        <f ca="1">IF(Tab_CONTRATOS[[#This Row],[ENCERRADO]]="Sim","***",ABS(Tab_CONTRATOS[[#This Row],[DIF DIAS]]))</f>
        <v>249</v>
      </c>
      <c r="AG36" s="28" t="str">
        <f ca="1">IF(Tab_CONTRATOS[[#This Row],[ENCERRADO]]="Sim","***",IF(Tab_CONTRATOS[[#This Row],[DIF DIAS]]=1," dia ",IF(Tab_CONTRATOS[[#This Row],[DIF DIAS]]&lt;&gt;0," dias ")))</f>
        <v xml:space="preserve"> dias </v>
      </c>
      <c r="AH36" s="28" t="str">
        <f ca="1">IF(Tab_CONTRATOS[[#This Row],[ENCERRADO]]="Sim","***",IF(Tab_CONTRATOS[[#This Row],[DIF DIAS]]=1,"Falta ",IF(Tab_CONTRATOS[[#This Row],[DIF DIAS]]&lt;&gt;0,"Faltam ")))</f>
        <v xml:space="preserve">Faltam </v>
      </c>
      <c r="AI36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6" s="20" t="s">
        <v>62</v>
      </c>
      <c r="AK36" s="20" t="s">
        <v>334</v>
      </c>
      <c r="AL36" s="20"/>
      <c r="AM36" s="31"/>
      <c r="AN36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6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51357</v>
      </c>
      <c r="AP36" s="20" t="s">
        <v>58</v>
      </c>
      <c r="AQ36" s="28">
        <f>Tab_CONTRATOS[[#This Row],[LIMITE DE MESES]]-Tab_CONTRATOS[[#This Row],[TOTAL DE MESES]]</f>
        <v>48</v>
      </c>
      <c r="AR36" s="28"/>
      <c r="AS36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6" s="20" t="s">
        <v>335</v>
      </c>
      <c r="AU36" s="20"/>
      <c r="AV36" s="20"/>
      <c r="AW36" s="20"/>
    </row>
    <row r="37" spans="1:49" ht="49.5" customHeight="1" x14ac:dyDescent="0.25">
      <c r="A37" s="38" t="s">
        <v>336</v>
      </c>
      <c r="B37" s="19">
        <v>2017</v>
      </c>
      <c r="C37" s="20" t="s">
        <v>337</v>
      </c>
      <c r="D37" s="21" t="s">
        <v>338</v>
      </c>
      <c r="E37" s="39" t="s">
        <v>339</v>
      </c>
      <c r="F37" s="18" t="s">
        <v>58</v>
      </c>
      <c r="G37" s="18" t="s">
        <v>54</v>
      </c>
      <c r="H37" s="18" t="s">
        <v>149</v>
      </c>
      <c r="I37" s="18"/>
      <c r="J37" s="18" t="s">
        <v>56</v>
      </c>
      <c r="K37" s="18" t="s">
        <v>106</v>
      </c>
      <c r="L37" s="22">
        <v>12972.24</v>
      </c>
      <c r="M37" s="23">
        <f>IF(Tab_CONTRATOS[[#This Row],[INSTRUMENTO]]="","",Tab_CONTRATOS[[#This Row],[VALOR MENSAL]]*12)</f>
        <v>155666.88</v>
      </c>
      <c r="N37" s="24">
        <v>42796</v>
      </c>
      <c r="O37" s="24">
        <v>43161</v>
      </c>
      <c r="P37" s="25" t="s">
        <v>53</v>
      </c>
      <c r="Q37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7" s="25">
        <v>60</v>
      </c>
      <c r="S37" s="43" t="s">
        <v>107</v>
      </c>
      <c r="T37" s="18" t="s">
        <v>60</v>
      </c>
      <c r="U37" s="20" t="s">
        <v>340</v>
      </c>
      <c r="V37" s="20"/>
      <c r="W37" s="27"/>
      <c r="X37" s="28" t="e">
        <f>INDEX('[1]Apoio 2'!B:B,MATCH(Tab_CONTRATOS[[#This Row],[ITEM]],'[1]Apoio 2'!A:A,0))</f>
        <v>#N/A</v>
      </c>
      <c r="Y37" s="28" t="e">
        <f>INDEX('[1]Apoio 2'!C:C,MATCH(Tab_CONTRATOS[[#This Row],[TEMA DE CUSTO]],'[1]Apoio 2'!B:B,0))</f>
        <v>#N/A</v>
      </c>
      <c r="Z37" s="28" t="e">
        <f>INDEX('[1]Apoio 2'!D:D,MATCH(Tab_CONTRATOS[[#This Row],[TEMA DE CUSTO]],'[1]Apoio 2'!B:B,0))</f>
        <v>#N/A</v>
      </c>
      <c r="AA37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Row],[ABS]]&gt;0,CONCATENATE(AH37,Tab_CONTRATOS[[#This Row],[ABS]],Tab_CONTRATOS[[#This Row],[TXT DIA]]," para o vencimento")))),"Contrato Encerrado")</f>
        <v>Faltam 276 dias  para o vencimento</v>
      </c>
      <c r="AB37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7" s="29" t="str">
        <f>PROPER(TEXT(Tab_CONTRATOS[[#This Row],[FIM DA VIGÊNICA]],"Mmmm"))</f>
        <v>Março</v>
      </c>
      <c r="AD37" s="29">
        <f>YEAR(Tab_CONTRATOS[[#This Row],[FIM DA VIGÊNICA]])</f>
        <v>2018</v>
      </c>
      <c r="AE37" s="30">
        <f ca="1">IF(Tab_CONTRATOS[[#This Row],[ENCERRADO]]="Sim","***",Tab_CONTRATOS[[#This Row],[FIM DA VIGÊNICA]]-TODAY())</f>
        <v>276</v>
      </c>
      <c r="AF37" s="30">
        <f ca="1">IF(Tab_CONTRATOS[[#This Row],[ENCERRADO]]="Sim","***",ABS(Tab_CONTRATOS[[#This Row],[DIF DIAS]]))</f>
        <v>276</v>
      </c>
      <c r="AG37" s="28" t="str">
        <f ca="1">IF(Tab_CONTRATOS[[#This Row],[ENCERRADO]]="Sim","***",IF(Tab_CONTRATOS[[#This Row],[DIF DIAS]]=1," dia ",IF(Tab_CONTRATOS[[#This Row],[DIF DIAS]]&lt;&gt;0," dias ")))</f>
        <v xml:space="preserve"> dias </v>
      </c>
      <c r="AH37" s="28" t="str">
        <f ca="1">IF(Tab_CONTRATOS[[#This Row],[ENCERRADO]]="Sim","***",IF(Tab_CONTRATOS[[#This Row],[DIF DIAS]]=1,"Falta ",IF(Tab_CONTRATOS[[#This Row],[DIF DIAS]]&lt;&gt;0,"Faltam ")))</f>
        <v xml:space="preserve">Faltam </v>
      </c>
      <c r="AI37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7" s="20" t="s">
        <v>71</v>
      </c>
      <c r="AK37" s="20" t="s">
        <v>341</v>
      </c>
      <c r="AL37" s="20"/>
      <c r="AM37" s="31">
        <v>42534</v>
      </c>
      <c r="AN37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Julho</v>
      </c>
      <c r="AO37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155666.88</v>
      </c>
      <c r="AP37" s="20" t="s">
        <v>58</v>
      </c>
      <c r="AQ37" s="28">
        <f>Tab_CONTRATOS[[#This Row],[LIMITE DE MESES]]-Tab_CONTRATOS[[#This Row],[TOTAL DE MESES]]</f>
        <v>48</v>
      </c>
      <c r="AR37" s="28"/>
      <c r="AS37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7" s="20" t="s">
        <v>342</v>
      </c>
      <c r="AU37" s="20"/>
      <c r="AV37" s="20"/>
      <c r="AW37" s="20"/>
    </row>
    <row r="38" spans="1:49" ht="42.75" customHeight="1" x14ac:dyDescent="0.25">
      <c r="A38" s="35" t="s">
        <v>336</v>
      </c>
      <c r="B38" s="19">
        <v>2017</v>
      </c>
      <c r="C38" s="20" t="s">
        <v>337</v>
      </c>
      <c r="D38" s="21" t="s">
        <v>338</v>
      </c>
      <c r="E38" s="39" t="s">
        <v>343</v>
      </c>
      <c r="F38" s="18" t="s">
        <v>58</v>
      </c>
      <c r="G38" s="18" t="s">
        <v>54</v>
      </c>
      <c r="H38" s="18" t="s">
        <v>149</v>
      </c>
      <c r="I38" s="18"/>
      <c r="J38" s="18" t="s">
        <v>56</v>
      </c>
      <c r="K38" s="18" t="s">
        <v>106</v>
      </c>
      <c r="L38" s="22">
        <v>4444</v>
      </c>
      <c r="M38" s="23">
        <f>IF(Tab_CONTRATOS[[#This Row],[INSTRUMENTO]]="","",Tab_CONTRATOS[[#This Row],[VALOR MENSAL]]*12)</f>
        <v>53328</v>
      </c>
      <c r="N38" s="24">
        <v>42796</v>
      </c>
      <c r="O38" s="24">
        <v>43161</v>
      </c>
      <c r="P38" s="25" t="s">
        <v>53</v>
      </c>
      <c r="Q38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8" s="25">
        <v>60</v>
      </c>
      <c r="S38" s="43" t="s">
        <v>107</v>
      </c>
      <c r="T38" s="18" t="s">
        <v>60</v>
      </c>
      <c r="U38" s="20" t="s">
        <v>340</v>
      </c>
      <c r="V38" s="20"/>
      <c r="W38" s="27"/>
      <c r="X38" s="28" t="e">
        <f>INDEX('[1]Apoio 2'!B:B,MATCH(Tab_CONTRATOS[[#This Row],[ITEM]],'[1]Apoio 2'!A:A,0))</f>
        <v>#N/A</v>
      </c>
      <c r="Y38" s="28" t="e">
        <f>INDEX('[1]Apoio 2'!C:C,MATCH(Tab_CONTRATOS[[#This Row],[TEMA DE CUSTO]],'[1]Apoio 2'!B:B,0))</f>
        <v>#N/A</v>
      </c>
      <c r="Z38" s="28" t="e">
        <f>INDEX('[1]Apoio 2'!D:D,MATCH(Tab_CONTRATOS[[#This Row],[TEMA DE CUSTO]],'[1]Apoio 2'!B:B,0))</f>
        <v>#N/A</v>
      </c>
      <c r="AA38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Row],[ABS]]&gt;0,CONCATENATE(AH38,Tab_CONTRATOS[[#This Row],[ABS]],Tab_CONTRATOS[[#This Row],[TXT DIA]]," para o vencimento")))),"Contrato Encerrado")</f>
        <v>Faltam 276 dias  para o vencimento</v>
      </c>
      <c r="AB38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8" s="29" t="str">
        <f>PROPER(TEXT(Tab_CONTRATOS[[#This Row],[FIM DA VIGÊNICA]],"Mmmm"))</f>
        <v>Março</v>
      </c>
      <c r="AD38" s="29">
        <f>YEAR(Tab_CONTRATOS[[#This Row],[FIM DA VIGÊNICA]])</f>
        <v>2018</v>
      </c>
      <c r="AE38" s="30">
        <f ca="1">IF(Tab_CONTRATOS[[#This Row],[ENCERRADO]]="Sim","***",Tab_CONTRATOS[[#This Row],[FIM DA VIGÊNICA]]-TODAY())</f>
        <v>276</v>
      </c>
      <c r="AF38" s="30">
        <f ca="1">IF(Tab_CONTRATOS[[#This Row],[ENCERRADO]]="Sim","***",ABS(Tab_CONTRATOS[[#This Row],[DIF DIAS]]))</f>
        <v>276</v>
      </c>
      <c r="AG38" s="28" t="str">
        <f ca="1">IF(Tab_CONTRATOS[[#This Row],[ENCERRADO]]="Sim","***",IF(Tab_CONTRATOS[[#This Row],[DIF DIAS]]=1," dia ",IF(Tab_CONTRATOS[[#This Row],[DIF DIAS]]&lt;&gt;0," dias ")))</f>
        <v xml:space="preserve"> dias </v>
      </c>
      <c r="AH38" s="28" t="str">
        <f ca="1">IF(Tab_CONTRATOS[[#This Row],[ENCERRADO]]="Sim","***",IF(Tab_CONTRATOS[[#This Row],[DIF DIAS]]=1,"Falta ",IF(Tab_CONTRATOS[[#This Row],[DIF DIAS]]&lt;&gt;0,"Faltam ")))</f>
        <v xml:space="preserve">Faltam </v>
      </c>
      <c r="AI38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8" s="20" t="s">
        <v>71</v>
      </c>
      <c r="AK38" s="20" t="s">
        <v>341</v>
      </c>
      <c r="AL38" s="20"/>
      <c r="AM38" s="31">
        <v>42534</v>
      </c>
      <c r="AN38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Julho</v>
      </c>
      <c r="AO38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53328</v>
      </c>
      <c r="AP38" s="20" t="s">
        <v>58</v>
      </c>
      <c r="AQ38" s="28">
        <f>Tab_CONTRATOS[[#This Row],[LIMITE DE MESES]]-Tab_CONTRATOS[[#This Row],[TOTAL DE MESES]]</f>
        <v>48</v>
      </c>
      <c r="AR38" s="28"/>
      <c r="AS38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8" s="20" t="s">
        <v>342</v>
      </c>
      <c r="AU38" s="20"/>
      <c r="AV38" s="20"/>
      <c r="AW38" s="20"/>
    </row>
    <row r="39" spans="1:49" ht="65.25" customHeight="1" x14ac:dyDescent="0.25">
      <c r="A39" s="38" t="s">
        <v>344</v>
      </c>
      <c r="B39" s="19">
        <v>2017</v>
      </c>
      <c r="C39" s="20" t="s">
        <v>345</v>
      </c>
      <c r="D39" s="21" t="s">
        <v>346</v>
      </c>
      <c r="E39" s="39" t="s">
        <v>347</v>
      </c>
      <c r="F39" s="18" t="s">
        <v>53</v>
      </c>
      <c r="G39" s="18" t="s">
        <v>54</v>
      </c>
      <c r="H39" s="18" t="s">
        <v>55</v>
      </c>
      <c r="I39" s="18"/>
      <c r="J39" s="18" t="s">
        <v>56</v>
      </c>
      <c r="K39" s="18" t="s">
        <v>106</v>
      </c>
      <c r="L39" s="22">
        <f>SUM(227010+49990)/12</f>
        <v>23083.333333333332</v>
      </c>
      <c r="M39" s="23">
        <f>IF(Tab_CONTRATOS[[#This Row],[INSTRUMENTO]]="","",Tab_CONTRATOS[[#This Row],[VALOR MENSAL]]*12)</f>
        <v>277000</v>
      </c>
      <c r="N39" s="24">
        <v>42800</v>
      </c>
      <c r="O39" s="24">
        <v>43165</v>
      </c>
      <c r="P39" s="25" t="s">
        <v>53</v>
      </c>
      <c r="Q39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39" s="25">
        <v>60</v>
      </c>
      <c r="S39" s="18" t="s">
        <v>107</v>
      </c>
      <c r="T39" s="18" t="s">
        <v>60</v>
      </c>
      <c r="U39" s="20" t="s">
        <v>348</v>
      </c>
      <c r="V39" s="20"/>
      <c r="W39" s="27"/>
      <c r="X39" s="28" t="e">
        <f>INDEX('[1]Apoio 2'!B:B,MATCH(Tab_CONTRATOS[[#This Row],[ITEM]],'[1]Apoio 2'!A:A,0))</f>
        <v>#N/A</v>
      </c>
      <c r="Y39" s="28" t="e">
        <f>INDEX('[1]Apoio 2'!C:C,MATCH(Tab_CONTRATOS[[#This Row],[TEMA DE CUSTO]],'[1]Apoio 2'!B:B,0))</f>
        <v>#N/A</v>
      </c>
      <c r="Z39" s="28" t="e">
        <f>INDEX('[1]Apoio 2'!D:D,MATCH(Tab_CONTRATOS[[#This Row],[TEMA DE CUSTO]],'[1]Apoio 2'!B:B,0))</f>
        <v>#N/A</v>
      </c>
      <c r="AA39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Row],[ABS]]&gt;0,CONCATENATE(AH39,Tab_CONTRATOS[[#This Row],[ABS]],Tab_CONTRATOS[[#This Row],[TXT DIA]]," para o vencimento")))),"Contrato Encerrado")</f>
        <v>Faltam 280 dias  para o vencimento</v>
      </c>
      <c r="AB39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39" s="29" t="str">
        <f>PROPER(TEXT(Tab_CONTRATOS[[#This Row],[FIM DA VIGÊNICA]],"Mmmm"))</f>
        <v>Março</v>
      </c>
      <c r="AD39" s="29">
        <f>YEAR(Tab_CONTRATOS[[#This Row],[FIM DA VIGÊNICA]])</f>
        <v>2018</v>
      </c>
      <c r="AE39" s="30">
        <f ca="1">IF(Tab_CONTRATOS[[#This Row],[ENCERRADO]]="Sim","***",Tab_CONTRATOS[[#This Row],[FIM DA VIGÊNICA]]-TODAY())</f>
        <v>280</v>
      </c>
      <c r="AF39" s="30">
        <f ca="1">IF(Tab_CONTRATOS[[#This Row],[ENCERRADO]]="Sim","***",ABS(Tab_CONTRATOS[[#This Row],[DIF DIAS]]))</f>
        <v>280</v>
      </c>
      <c r="AG39" s="28" t="str">
        <f ca="1">IF(Tab_CONTRATOS[[#This Row],[ENCERRADO]]="Sim","***",IF(Tab_CONTRATOS[[#This Row],[DIF DIAS]]=1," dia ",IF(Tab_CONTRATOS[[#This Row],[DIF DIAS]]&lt;&gt;0," dias ")))</f>
        <v xml:space="preserve"> dias </v>
      </c>
      <c r="AH39" s="28" t="str">
        <f ca="1">IF(Tab_CONTRATOS[[#This Row],[ENCERRADO]]="Sim","***",IF(Tab_CONTRATOS[[#This Row],[DIF DIAS]]=1,"Falta ",IF(Tab_CONTRATOS[[#This Row],[DIF DIAS]]&lt;&gt;0,"Faltam ")))</f>
        <v xml:space="preserve">Faltam </v>
      </c>
      <c r="AI39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39" s="20" t="s">
        <v>71</v>
      </c>
      <c r="AK39" s="20" t="s">
        <v>63</v>
      </c>
      <c r="AL39" s="20" t="s">
        <v>349</v>
      </c>
      <c r="AM39" s="31"/>
      <c r="AN39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39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277000</v>
      </c>
      <c r="AP39" s="20" t="s">
        <v>58</v>
      </c>
      <c r="AQ39" s="28">
        <f>Tab_CONTRATOS[[#This Row],[LIMITE DE MESES]]-Tab_CONTRATOS[[#This Row],[TOTAL DE MESES]]</f>
        <v>48</v>
      </c>
      <c r="AR39" s="28"/>
      <c r="AS39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39" s="20" t="s">
        <v>110</v>
      </c>
      <c r="AU39" s="20"/>
      <c r="AV39" s="20"/>
      <c r="AW39" s="20"/>
    </row>
    <row r="40" spans="1:49" ht="33.75" customHeight="1" x14ac:dyDescent="0.25">
      <c r="A40" s="35" t="s">
        <v>350</v>
      </c>
      <c r="B40" s="50">
        <v>2017</v>
      </c>
      <c r="C40" s="51" t="s">
        <v>209</v>
      </c>
      <c r="D40" s="52" t="s">
        <v>210</v>
      </c>
      <c r="E40" s="53" t="s">
        <v>351</v>
      </c>
      <c r="F40" s="54" t="s">
        <v>53</v>
      </c>
      <c r="G40" s="54" t="s">
        <v>115</v>
      </c>
      <c r="H40" s="54" t="s">
        <v>116</v>
      </c>
      <c r="I40" s="54"/>
      <c r="J40" s="54" t="s">
        <v>56</v>
      </c>
      <c r="K40" s="18" t="s">
        <v>106</v>
      </c>
      <c r="L40" s="55">
        <v>152366.59</v>
      </c>
      <c r="M40" s="56">
        <f>IF(Tab_CONTRATOS[[#This Row],[INSTRUMENTO]]="","",Tab_CONTRATOS[[#This Row],[VALOR MENSAL]]*12)</f>
        <v>1828399.08</v>
      </c>
      <c r="N40" s="57">
        <v>42826</v>
      </c>
      <c r="O40" s="57">
        <v>43191</v>
      </c>
      <c r="P40" s="58" t="s">
        <v>53</v>
      </c>
      <c r="Q40" s="59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40" s="60">
        <v>60</v>
      </c>
      <c r="S40" s="61"/>
      <c r="T40" s="54"/>
      <c r="U40" s="51"/>
      <c r="V40" s="51"/>
      <c r="W40" s="62"/>
      <c r="X40" s="63" t="e">
        <f>INDEX('[1]Apoio 2'!B:B,MATCH(Tab_CONTRATOS[[#This Row],[ITEM]],'[1]Apoio 2'!A:A,0))</f>
        <v>#N/A</v>
      </c>
      <c r="Y40" s="63" t="e">
        <f>INDEX('[1]Apoio 2'!C:C,MATCH(Tab_CONTRATOS[[#This Row],[TEMA DE CUSTO]],'[1]Apoio 2'!B:B,0))</f>
        <v>#N/A</v>
      </c>
      <c r="Z40" s="63" t="e">
        <f>INDEX('[1]Apoio 2'!D:D,MATCH(Tab_CONTRATOS[[#This Row],[TEMA DE CUSTO]],'[1]Apoio 2'!B:B,0))</f>
        <v>#N/A</v>
      </c>
      <c r="AA40" s="64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Row],[ABS]]&gt;0,CONCATENATE(AH40,Tab_CONTRATOS[[#This Row],[ABS]],Tab_CONTRATOS[[#This Row],[TXT DIA]]," para o vencimento")))),"Contrato Encerrado")</f>
        <v>Faltam 306 dias  para o vencimento</v>
      </c>
      <c r="AB40" s="64" t="str">
        <f ca="1">IF(Tab_CONTRATOS[[#This Row],[ENCERRADO]]="Sim","Encerrado",IF(Tab_CONTRATOS[[#This Row],[DIF DIAS]]&gt;=0,"Em Execução",IF(Tab_CONTRATOS[[#This Row],[DIF DIAS]]&lt;0,"Vencido","ERRO!")))</f>
        <v>Em Execução</v>
      </c>
      <c r="AC40" s="64" t="str">
        <f>PROPER(TEXT(Tab_CONTRATOS[[#This Row],[FIM DA VIGÊNICA]],"Mmmm"))</f>
        <v>Abril</v>
      </c>
      <c r="AD40" s="64">
        <f>YEAR(Tab_CONTRATOS[[#This Row],[FIM DA VIGÊNICA]])</f>
        <v>2018</v>
      </c>
      <c r="AE40" s="65">
        <f ca="1">IF(Tab_CONTRATOS[[#This Row],[ENCERRADO]]="Sim","***",Tab_CONTRATOS[[#This Row],[FIM DA VIGÊNICA]]-TODAY())</f>
        <v>306</v>
      </c>
      <c r="AF40" s="66">
        <f ca="1">IF(Tab_CONTRATOS[[#This Row],[ENCERRADO]]="Sim","***",ABS(Tab_CONTRATOS[[#This Row],[DIF DIAS]]))</f>
        <v>306</v>
      </c>
      <c r="AG40" s="63" t="str">
        <f ca="1">IF(Tab_CONTRATOS[[#This Row],[ENCERRADO]]="Sim","***",IF(Tab_CONTRATOS[[#This Row],[DIF DIAS]]=1," dia ",IF(Tab_CONTRATOS[[#This Row],[DIF DIAS]]&lt;&gt;0," dias ")))</f>
        <v xml:space="preserve"> dias </v>
      </c>
      <c r="AH40" s="63" t="str">
        <f ca="1">IF(Tab_CONTRATOS[[#This Row],[ENCERRADO]]="Sim","***",IF(Tab_CONTRATOS[[#This Row],[DIF DIAS]]=1,"Falta ",IF(Tab_CONTRATOS[[#This Row],[DIF DIAS]]&lt;&gt;0,"Faltam ")))</f>
        <v xml:space="preserve">Faltam </v>
      </c>
      <c r="AI40" s="63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0" s="67"/>
      <c r="AK40" s="51"/>
      <c r="AL40" s="51"/>
      <c r="AM40" s="68"/>
      <c r="AN40" s="69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0" s="70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1828399.08</v>
      </c>
      <c r="AP40" s="51"/>
      <c r="AQ40" s="63">
        <f>Tab_CONTRATOS[[#This Row],[LIMITE DE MESES]]-Tab_CONTRATOS[[#This Row],[TOTAL DE MESES]]</f>
        <v>48</v>
      </c>
      <c r="AR40" s="63" t="s">
        <v>352</v>
      </c>
      <c r="AS40" s="50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40" s="51"/>
      <c r="AU40" s="51"/>
      <c r="AV40" s="51"/>
      <c r="AW40" s="51"/>
    </row>
    <row r="41" spans="1:49" ht="48" customHeight="1" x14ac:dyDescent="0.25">
      <c r="A41" s="38" t="s">
        <v>353</v>
      </c>
      <c r="B41" s="50">
        <v>2017</v>
      </c>
      <c r="C41" s="51" t="s">
        <v>354</v>
      </c>
      <c r="D41" s="52" t="s">
        <v>355</v>
      </c>
      <c r="E41" s="53" t="s">
        <v>356</v>
      </c>
      <c r="F41" s="54" t="s">
        <v>53</v>
      </c>
      <c r="G41" s="54"/>
      <c r="H41" s="54"/>
      <c r="I41" s="54"/>
      <c r="J41" s="54" t="s">
        <v>56</v>
      </c>
      <c r="K41" s="18" t="s">
        <v>106</v>
      </c>
      <c r="L41" s="55">
        <f>11754.89/12</f>
        <v>979.57416666666666</v>
      </c>
      <c r="M41" s="56">
        <f>IF(Tab_CONTRATOS[[#This Row],[INSTRUMENTO]]="","",Tab_CONTRATOS[[#This Row],[VALOR MENSAL]]*12)</f>
        <v>11754.89</v>
      </c>
      <c r="N41" s="57">
        <v>42872</v>
      </c>
      <c r="O41" s="57">
        <v>43237</v>
      </c>
      <c r="P41" s="58" t="s">
        <v>53</v>
      </c>
      <c r="Q41" s="59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41" s="60">
        <v>60</v>
      </c>
      <c r="S41" s="61"/>
      <c r="T41" s="54"/>
      <c r="U41" s="51"/>
      <c r="V41" s="51"/>
      <c r="W41" s="62"/>
      <c r="X41" s="63" t="e">
        <f>INDEX('[1]Apoio 2'!B:B,MATCH(Tab_CONTRATOS[[#This Row],[ITEM]],'[1]Apoio 2'!A:A,0))</f>
        <v>#N/A</v>
      </c>
      <c r="Y41" s="63" t="e">
        <f>INDEX('[1]Apoio 2'!C:C,MATCH(Tab_CONTRATOS[[#This Row],[TEMA DE CUSTO]],'[1]Apoio 2'!B:B,0))</f>
        <v>#N/A</v>
      </c>
      <c r="Z41" s="63" t="e">
        <f>INDEX('[1]Apoio 2'!D:D,MATCH(Tab_CONTRATOS[[#This Row],[TEMA DE CUSTO]],'[1]Apoio 2'!B:B,0))</f>
        <v>#N/A</v>
      </c>
      <c r="AA41" s="64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Row],[ABS]]&gt;0,CONCATENATE(AH41,Tab_CONTRATOS[[#This Row],[ABS]],Tab_CONTRATOS[[#This Row],[TXT DIA]]," para o vencimento")))),"Contrato Encerrado")</f>
        <v>Faltam 352 dias  para o vencimento</v>
      </c>
      <c r="AB41" s="64" t="str">
        <f ca="1">IF(Tab_CONTRATOS[[#This Row],[ENCERRADO]]="Sim","Encerrado",IF(Tab_CONTRATOS[[#This Row],[DIF DIAS]]&gt;=0,"Em Execução",IF(Tab_CONTRATOS[[#This Row],[DIF DIAS]]&lt;0,"Vencido","ERRO!")))</f>
        <v>Em Execução</v>
      </c>
      <c r="AC41" s="64" t="str">
        <f>PROPER(TEXT(Tab_CONTRATOS[[#This Row],[FIM DA VIGÊNICA]],"Mmmm"))</f>
        <v>Maio</v>
      </c>
      <c r="AD41" s="64">
        <f>YEAR(Tab_CONTRATOS[[#This Row],[FIM DA VIGÊNICA]])</f>
        <v>2018</v>
      </c>
      <c r="AE41" s="65">
        <f ca="1">IF(Tab_CONTRATOS[[#This Row],[ENCERRADO]]="Sim","***",Tab_CONTRATOS[[#This Row],[FIM DA VIGÊNICA]]-TODAY())</f>
        <v>352</v>
      </c>
      <c r="AF41" s="66">
        <f ca="1">IF(Tab_CONTRATOS[[#This Row],[ENCERRADO]]="Sim","***",ABS(Tab_CONTRATOS[[#This Row],[DIF DIAS]]))</f>
        <v>352</v>
      </c>
      <c r="AG41" s="63" t="str">
        <f ca="1">IF(Tab_CONTRATOS[[#This Row],[ENCERRADO]]="Sim","***",IF(Tab_CONTRATOS[[#This Row],[DIF DIAS]]=1," dia ",IF(Tab_CONTRATOS[[#This Row],[DIF DIAS]]&lt;&gt;0," dias ")))</f>
        <v xml:space="preserve"> dias </v>
      </c>
      <c r="AH41" s="63" t="str">
        <f ca="1">IF(Tab_CONTRATOS[[#This Row],[ENCERRADO]]="Sim","***",IF(Tab_CONTRATOS[[#This Row],[DIF DIAS]]=1,"Falta ",IF(Tab_CONTRATOS[[#This Row],[DIF DIAS]]&lt;&gt;0,"Faltam ")))</f>
        <v xml:space="preserve">Faltam </v>
      </c>
      <c r="AI41" s="63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1" s="67"/>
      <c r="AK41" s="51"/>
      <c r="AL41" s="51"/>
      <c r="AM41" s="68"/>
      <c r="AN41" s="69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1" s="70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11754.89</v>
      </c>
      <c r="AP41" s="51"/>
      <c r="AQ41" s="63">
        <f>Tab_CONTRATOS[[#This Row],[LIMITE DE MESES]]-Tab_CONTRATOS[[#This Row],[TOTAL DE MESES]]</f>
        <v>48</v>
      </c>
      <c r="AR41" s="63"/>
      <c r="AS41" s="50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41" s="51"/>
      <c r="AU41" s="51"/>
      <c r="AV41" s="51"/>
      <c r="AW41" s="51"/>
    </row>
    <row r="42" spans="1:49" ht="51.75" customHeight="1" x14ac:dyDescent="0.25">
      <c r="A42" s="35" t="s">
        <v>357</v>
      </c>
      <c r="B42" s="50">
        <v>2017</v>
      </c>
      <c r="C42" s="51" t="s">
        <v>358</v>
      </c>
      <c r="D42" s="52" t="s">
        <v>359</v>
      </c>
      <c r="E42" s="53" t="s">
        <v>360</v>
      </c>
      <c r="F42" s="54" t="s">
        <v>53</v>
      </c>
      <c r="G42" s="54" t="s">
        <v>54</v>
      </c>
      <c r="H42" s="54" t="s">
        <v>149</v>
      </c>
      <c r="I42" s="54"/>
      <c r="J42" s="54" t="s">
        <v>56</v>
      </c>
      <c r="K42" s="18" t="s">
        <v>57</v>
      </c>
      <c r="L42" s="55">
        <f>34680/12</f>
        <v>2890</v>
      </c>
      <c r="M42" s="56">
        <f>IF(Tab_CONTRATOS[[#This Row],[INSTRUMENTO]]="","",Tab_CONTRATOS[[#This Row],[VALOR MENSAL]]*12)</f>
        <v>34680</v>
      </c>
      <c r="N42" s="57">
        <v>42815</v>
      </c>
      <c r="O42" s="57">
        <v>43180</v>
      </c>
      <c r="P42" s="58" t="s">
        <v>53</v>
      </c>
      <c r="Q42" s="59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42" s="60">
        <v>60</v>
      </c>
      <c r="S42" s="61"/>
      <c r="T42" s="54"/>
      <c r="U42" s="51"/>
      <c r="V42" s="51"/>
      <c r="W42" s="62"/>
      <c r="X42" s="63" t="e">
        <f>INDEX('[1]Apoio 2'!B:B,MATCH(Tab_CONTRATOS[[#This Row],[ITEM]],'[1]Apoio 2'!A:A,0))</f>
        <v>#N/A</v>
      </c>
      <c r="Y42" s="63" t="e">
        <f>INDEX('[1]Apoio 2'!C:C,MATCH(Tab_CONTRATOS[[#This Row],[TEMA DE CUSTO]],'[1]Apoio 2'!B:B,0))</f>
        <v>#N/A</v>
      </c>
      <c r="Z42" s="63" t="e">
        <f>INDEX('[1]Apoio 2'!D:D,MATCH(Tab_CONTRATOS[[#This Row],[TEMA DE CUSTO]],'[1]Apoio 2'!B:B,0))</f>
        <v>#N/A</v>
      </c>
      <c r="AA42" s="64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Row],[ABS]]&gt;0,CONCATENATE(AH42,Tab_CONTRATOS[[#This Row],[ABS]],Tab_CONTRATOS[[#This Row],[TXT DIA]]," para o vencimento")))),"Contrato Encerrado")</f>
        <v>Faltam 295 dias  para o vencimento</v>
      </c>
      <c r="AB42" s="64" t="str">
        <f ca="1">IF(Tab_CONTRATOS[[#This Row],[ENCERRADO]]="Sim","Encerrado",IF(Tab_CONTRATOS[[#This Row],[DIF DIAS]]&gt;=0,"Em Execução",IF(Tab_CONTRATOS[[#This Row],[DIF DIAS]]&lt;0,"Vencido","ERRO!")))</f>
        <v>Em Execução</v>
      </c>
      <c r="AC42" s="64" t="str">
        <f>PROPER(TEXT(Tab_CONTRATOS[[#This Row],[FIM DA VIGÊNICA]],"Mmmm"))</f>
        <v>Março</v>
      </c>
      <c r="AD42" s="64">
        <f>YEAR(Tab_CONTRATOS[[#This Row],[FIM DA VIGÊNICA]])</f>
        <v>2018</v>
      </c>
      <c r="AE42" s="65">
        <f ca="1">IF(Tab_CONTRATOS[[#This Row],[ENCERRADO]]="Sim","***",Tab_CONTRATOS[[#This Row],[FIM DA VIGÊNICA]]-TODAY())</f>
        <v>295</v>
      </c>
      <c r="AF42" s="66">
        <f ca="1">IF(Tab_CONTRATOS[[#This Row],[ENCERRADO]]="Sim","***",ABS(Tab_CONTRATOS[[#This Row],[DIF DIAS]]))</f>
        <v>295</v>
      </c>
      <c r="AG42" s="63" t="str">
        <f ca="1">IF(Tab_CONTRATOS[[#This Row],[ENCERRADO]]="Sim","***",IF(Tab_CONTRATOS[[#This Row],[DIF DIAS]]=1," dia ",IF(Tab_CONTRATOS[[#This Row],[DIF DIAS]]&lt;&gt;0," dias ")))</f>
        <v xml:space="preserve"> dias </v>
      </c>
      <c r="AH42" s="63" t="str">
        <f ca="1">IF(Tab_CONTRATOS[[#This Row],[ENCERRADO]]="Sim","***",IF(Tab_CONTRATOS[[#This Row],[DIF DIAS]]=1,"Falta ",IF(Tab_CONTRATOS[[#This Row],[DIF DIAS]]&lt;&gt;0,"Faltam ")))</f>
        <v xml:space="preserve">Faltam </v>
      </c>
      <c r="AI42" s="63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2" s="67"/>
      <c r="AK42" s="51"/>
      <c r="AL42" s="51"/>
      <c r="AM42" s="68"/>
      <c r="AN42" s="69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2" s="70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34680</v>
      </c>
      <c r="AP42" s="51"/>
      <c r="AQ42" s="63">
        <f>Tab_CONTRATOS[[#This Row],[LIMITE DE MESES]]-Tab_CONTRATOS[[#This Row],[TOTAL DE MESES]]</f>
        <v>48</v>
      </c>
      <c r="AR42" s="63" t="s">
        <v>172</v>
      </c>
      <c r="AS42" s="50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42" s="51"/>
      <c r="AU42" s="51"/>
      <c r="AV42" s="51"/>
      <c r="AW42" s="51"/>
    </row>
    <row r="43" spans="1:49" ht="50.25" customHeight="1" x14ac:dyDescent="0.25">
      <c r="A43" s="38" t="s">
        <v>361</v>
      </c>
      <c r="B43" s="20" t="s">
        <v>362</v>
      </c>
      <c r="C43" s="20" t="s">
        <v>363</v>
      </c>
      <c r="D43" s="21" t="s">
        <v>364</v>
      </c>
      <c r="E43" s="39" t="s">
        <v>365</v>
      </c>
      <c r="F43" s="18" t="s">
        <v>53</v>
      </c>
      <c r="G43" s="18" t="s">
        <v>54</v>
      </c>
      <c r="H43" s="18" t="s">
        <v>149</v>
      </c>
      <c r="I43" s="18"/>
      <c r="J43" s="18" t="s">
        <v>56</v>
      </c>
      <c r="K43" s="18" t="s">
        <v>57</v>
      </c>
      <c r="L43" s="22">
        <v>6000</v>
      </c>
      <c r="M43" s="23">
        <f>IF(Tab_CONTRATOS[[#This Row],[INSTRUMENTO]]="","",Tab_CONTRATOS[[#This Row],[VALOR MENSAL]]*12)</f>
        <v>72000</v>
      </c>
      <c r="N43" s="24">
        <v>41276</v>
      </c>
      <c r="O43" s="24">
        <v>43100</v>
      </c>
      <c r="P43" s="25" t="s">
        <v>53</v>
      </c>
      <c r="Q43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60</v>
      </c>
      <c r="R43" s="25">
        <v>60</v>
      </c>
      <c r="S43" s="72" t="s">
        <v>366</v>
      </c>
      <c r="T43" s="18" t="s">
        <v>78</v>
      </c>
      <c r="U43" s="20" t="s">
        <v>367</v>
      </c>
      <c r="V43" s="20"/>
      <c r="W43" s="27"/>
      <c r="X43" s="28" t="e">
        <f>INDEX('[1]Apoio 2'!B:B,MATCH(Tab_CONTRATOS[[#This Row],[ITEM]],'[1]Apoio 2'!A:A,0))</f>
        <v>#N/A</v>
      </c>
      <c r="Y43" s="28" t="e">
        <f>INDEX('[1]Apoio 2'!C:C,MATCH(Tab_CONTRATOS[[#This Row],[TEMA DE CUSTO]],'[1]Apoio 2'!B:B,0))</f>
        <v>#N/A</v>
      </c>
      <c r="Z43" s="28" t="e">
        <f>INDEX('[1]Apoio 2'!D:D,MATCH(Tab_CONTRATOS[[#This Row],[TEMA DE CUSTO]],'[1]Apoio 2'!B:B,0))</f>
        <v>#N/A</v>
      </c>
      <c r="AA43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Row],[ABS]]&gt;0,CONCATENATE(AH43,Tab_CONTRATOS[[#This Row],[ABS]],Tab_CONTRATOS[[#This Row],[TXT DIA]]," para o vencimento")))),"Contrato Encerrado")</f>
        <v>Faltam 215 dias  para o vencimento</v>
      </c>
      <c r="AB43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43" s="29" t="str">
        <f>PROPER(TEXT(Tab_CONTRATOS[[#This Row],[FIM DA VIGÊNICA]],"Mmmm"))</f>
        <v>Dezembro</v>
      </c>
      <c r="AD43" s="29">
        <f>YEAR(Tab_CONTRATOS[[#This Row],[FIM DA VIGÊNICA]])</f>
        <v>2017</v>
      </c>
      <c r="AE43" s="30">
        <f ca="1">IF(Tab_CONTRATOS[[#This Row],[ENCERRADO]]="Sim","***",Tab_CONTRATOS[[#This Row],[FIM DA VIGÊNICA]]-TODAY())</f>
        <v>215</v>
      </c>
      <c r="AF43" s="30">
        <f ca="1">IF(Tab_CONTRATOS[[#This Row],[ENCERRADO]]="Sim","***",ABS(Tab_CONTRATOS[[#This Row],[DIF DIAS]]))</f>
        <v>215</v>
      </c>
      <c r="AG43" s="28" t="str">
        <f ca="1">IF(Tab_CONTRATOS[[#This Row],[ENCERRADO]]="Sim","***",IF(Tab_CONTRATOS[[#This Row],[DIF DIAS]]=1," dia ",IF(Tab_CONTRATOS[[#This Row],[DIF DIAS]]&lt;&gt;0," dias ")))</f>
        <v xml:space="preserve"> dias </v>
      </c>
      <c r="AH43" s="28" t="str">
        <f ca="1">IF(Tab_CONTRATOS[[#This Row],[ENCERRADO]]="Sim","***",IF(Tab_CONTRATOS[[#This Row],[DIF DIAS]]=1,"Falta ",IF(Tab_CONTRATOS[[#This Row],[DIF DIAS]]&lt;&gt;0,"Faltam ")))</f>
        <v xml:space="preserve">Faltam </v>
      </c>
      <c r="AI43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3" s="20" t="s">
        <v>62</v>
      </c>
      <c r="AK43" s="20" t="s">
        <v>368</v>
      </c>
      <c r="AL43" s="20"/>
      <c r="AM43" s="31"/>
      <c r="AN43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3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72000</v>
      </c>
      <c r="AP43" s="20" t="s">
        <v>58</v>
      </c>
      <c r="AQ43" s="28">
        <f>Tab_CONTRATOS[[#This Row],[LIMITE DE MESES]]-Tab_CONTRATOS[[#This Row],[TOTAL DE MESES]]</f>
        <v>0</v>
      </c>
      <c r="AR43" s="28" t="s">
        <v>172</v>
      </c>
      <c r="AS43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Não pode ser prorrogado - Limite 60</v>
      </c>
      <c r="AT43" s="20" t="s">
        <v>110</v>
      </c>
      <c r="AU43" s="20"/>
      <c r="AV43" s="36" t="s">
        <v>369</v>
      </c>
      <c r="AW43" s="20"/>
    </row>
    <row r="44" spans="1:49" ht="73.5" customHeight="1" x14ac:dyDescent="0.25">
      <c r="A44" s="35" t="s">
        <v>370</v>
      </c>
      <c r="B44" s="20" t="s">
        <v>371</v>
      </c>
      <c r="C44" s="20" t="s">
        <v>372</v>
      </c>
      <c r="D44" s="21" t="s">
        <v>373</v>
      </c>
      <c r="E44" s="39" t="s">
        <v>374</v>
      </c>
      <c r="F44" s="18" t="s">
        <v>58</v>
      </c>
      <c r="G44" s="18" t="s">
        <v>95</v>
      </c>
      <c r="H44" s="18" t="s">
        <v>96</v>
      </c>
      <c r="I44" s="18"/>
      <c r="J44" s="18" t="s">
        <v>56</v>
      </c>
      <c r="K44" s="18" t="s">
        <v>57</v>
      </c>
      <c r="L44" s="22"/>
      <c r="M44" s="23">
        <f>IF(Tab_CONTRATOS[[#This Row],[INSTRUMENTO]]="","",Tab_CONTRATOS[[#This Row],[VALOR MENSAL]]*12)</f>
        <v>0</v>
      </c>
      <c r="N44" s="24">
        <v>41883</v>
      </c>
      <c r="O44" s="24">
        <v>42978</v>
      </c>
      <c r="P44" s="25" t="s">
        <v>53</v>
      </c>
      <c r="Q44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36</v>
      </c>
      <c r="R44" s="25">
        <v>60</v>
      </c>
      <c r="S44" s="43" t="s">
        <v>375</v>
      </c>
      <c r="T44" s="18" t="s">
        <v>78</v>
      </c>
      <c r="U44" s="20" t="s">
        <v>376</v>
      </c>
      <c r="V44" s="20"/>
      <c r="W44" s="27"/>
      <c r="X44" s="28" t="e">
        <f>INDEX('[1]Apoio 2'!B:B,MATCH(Tab_CONTRATOS[[#This Row],[ITEM]],'[1]Apoio 2'!A:A,0))</f>
        <v>#N/A</v>
      </c>
      <c r="Y44" s="28" t="e">
        <f>INDEX('[1]Apoio 2'!C:C,MATCH(Tab_CONTRATOS[[#This Row],[TEMA DE CUSTO]],'[1]Apoio 2'!B:B,0))</f>
        <v>#N/A</v>
      </c>
      <c r="Z44" s="28" t="e">
        <f>INDEX('[1]Apoio 2'!D:D,MATCH(Tab_CONTRATOS[[#This Row],[TEMA DE CUSTO]],'[1]Apoio 2'!B:B,0))</f>
        <v>#N/A</v>
      </c>
      <c r="AA44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Row],[ABS]]&gt;0,CONCATENATE(AH44,Tab_CONTRATOS[[#This Row],[ABS]],Tab_CONTRATOS[[#This Row],[TXT DIA]]," para o vencimento")))),"Contrato Encerrado")</f>
        <v>Faltam 93 dias  para o vencimento</v>
      </c>
      <c r="AB44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44" s="29" t="str">
        <f>PROPER(TEXT(Tab_CONTRATOS[[#This Row],[FIM DA VIGÊNICA]],"Mmmm"))</f>
        <v>Agosto</v>
      </c>
      <c r="AD44" s="29">
        <f>YEAR(Tab_CONTRATOS[[#This Row],[FIM DA VIGÊNICA]])</f>
        <v>2017</v>
      </c>
      <c r="AE44" s="30">
        <f ca="1">IF(Tab_CONTRATOS[[#This Row],[ENCERRADO]]="Sim","***",Tab_CONTRATOS[[#This Row],[FIM DA VIGÊNICA]]-TODAY())</f>
        <v>93</v>
      </c>
      <c r="AF44" s="30">
        <f ca="1">IF(Tab_CONTRATOS[[#This Row],[ENCERRADO]]="Sim","***",ABS(Tab_CONTRATOS[[#This Row],[DIF DIAS]]))</f>
        <v>93</v>
      </c>
      <c r="AG44" s="28" t="str">
        <f ca="1">IF(Tab_CONTRATOS[[#This Row],[ENCERRADO]]="Sim","***",IF(Tab_CONTRATOS[[#This Row],[DIF DIAS]]=1," dia ",IF(Tab_CONTRATOS[[#This Row],[DIF DIAS]]&lt;&gt;0," dias ")))</f>
        <v xml:space="preserve"> dias </v>
      </c>
      <c r="AH44" s="28" t="str">
        <f ca="1">IF(Tab_CONTRATOS[[#This Row],[ENCERRADO]]="Sim","***",IF(Tab_CONTRATOS[[#This Row],[DIF DIAS]]=1,"Falta ",IF(Tab_CONTRATOS[[#This Row],[DIF DIAS]]&lt;&gt;0,"Faltam ")))</f>
        <v xml:space="preserve">Faltam </v>
      </c>
      <c r="AI44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4" s="20"/>
      <c r="AK44" s="20" t="s">
        <v>377</v>
      </c>
      <c r="AL44" s="20" t="s">
        <v>378</v>
      </c>
      <c r="AM44" s="31"/>
      <c r="AN44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4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44" s="20" t="s">
        <v>58</v>
      </c>
      <c r="AQ44" s="28">
        <f>Tab_CONTRATOS[[#This Row],[LIMITE DE MESES]]-Tab_CONTRATOS[[#This Row],[TOTAL DE MESES]]</f>
        <v>24</v>
      </c>
      <c r="AR44" s="28"/>
      <c r="AS44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24 meses</v>
      </c>
      <c r="AT44" s="20" t="s">
        <v>110</v>
      </c>
      <c r="AU44" s="20"/>
      <c r="AV44" s="20" t="s">
        <v>379</v>
      </c>
      <c r="AW44" s="20"/>
    </row>
    <row r="45" spans="1:49" ht="49.5" hidden="1" customHeight="1" x14ac:dyDescent="0.25">
      <c r="A45" s="18" t="s">
        <v>380</v>
      </c>
      <c r="B45" s="20" t="s">
        <v>381</v>
      </c>
      <c r="C45" s="20" t="s">
        <v>382</v>
      </c>
      <c r="D45" s="21" t="s">
        <v>383</v>
      </c>
      <c r="E45" s="39" t="s">
        <v>384</v>
      </c>
      <c r="F45" s="18" t="s">
        <v>53</v>
      </c>
      <c r="G45" s="18" t="s">
        <v>385</v>
      </c>
      <c r="H45" s="18"/>
      <c r="I45" s="18"/>
      <c r="J45" s="18" t="s">
        <v>56</v>
      </c>
      <c r="K45" s="18" t="s">
        <v>57</v>
      </c>
      <c r="L45" s="22">
        <f>SUM(90900+22725)/12</f>
        <v>9468.75</v>
      </c>
      <c r="M45" s="23">
        <f>IF(Tab_CONTRATOS[[#This Row],[INSTRUMENTO]]="","",Tab_CONTRATOS[[#This Row],[VALOR MENSAL]]*12)</f>
        <v>113625</v>
      </c>
      <c r="N45" s="40">
        <v>42318</v>
      </c>
      <c r="O45" s="40">
        <v>42684</v>
      </c>
      <c r="P45" s="25" t="s">
        <v>58</v>
      </c>
      <c r="Q45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45" s="42">
        <v>12</v>
      </c>
      <c r="S45" s="43" t="s">
        <v>386</v>
      </c>
      <c r="T45" s="18" t="s">
        <v>78</v>
      </c>
      <c r="U45" s="20" t="s">
        <v>387</v>
      </c>
      <c r="V45" s="20"/>
      <c r="W45" s="27"/>
      <c r="X45" s="28" t="e">
        <f>INDEX('[1]Apoio 2'!B:B,MATCH(Tab_CONTRATOS[[#This Row],[ITEM]],'[1]Apoio 2'!A:A,0))</f>
        <v>#N/A</v>
      </c>
      <c r="Y45" s="28" t="e">
        <f>INDEX('[1]Apoio 2'!C:C,MATCH(Tab_CONTRATOS[[#This Row],[TEMA DE CUSTO]],'[1]Apoio 2'!B:B,0))</f>
        <v>#N/A</v>
      </c>
      <c r="Z45" s="28" t="e">
        <f>INDEX('[1]Apoio 2'!D:D,MATCH(Tab_CONTRATOS[[#This Row],[TEMA DE CUSTO]],'[1]Apoio 2'!B:B,0))</f>
        <v>#N/A</v>
      </c>
      <c r="AA45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Row],[ABS]]&gt;0,CONCATENATE(AH45,Tab_CONTRATOS[[#This Row],[ABS]],Tab_CONTRATOS[[#This Row],[TXT DIA]]," para o vencimento")))),"Contrato Encerrado")</f>
        <v>Contrato Encerrado</v>
      </c>
      <c r="AB45" s="29" t="str">
        <f>IF(Tab_CONTRATOS[[#This Row],[ENCERRADO]]="Sim","Encerrado",IF(Tab_CONTRATOS[[#This Row],[DIF DIAS]]&gt;=0,"Em Execução",IF(Tab_CONTRATOS[[#This Row],[DIF DIAS]]&lt;0,"Vencido","ERRO!")))</f>
        <v>Encerrado</v>
      </c>
      <c r="AC45" s="29" t="str">
        <f>PROPER(TEXT(Tab_CONTRATOS[[#This Row],[FIM DA VIGÊNICA]],"Mmmm"))</f>
        <v>Novembro</v>
      </c>
      <c r="AD45" s="29">
        <f>YEAR(Tab_CONTRATOS[[#This Row],[FIM DA VIGÊNICA]])</f>
        <v>2016</v>
      </c>
      <c r="AE45" s="44" t="str">
        <f ca="1">IF(Tab_CONTRATOS[[#This Row],[ENCERRADO]]="Sim","***",Tab_CONTRATOS[[#This Row],[FIM DA VIGÊNICA]]-TODAY())</f>
        <v>***</v>
      </c>
      <c r="AF45" s="30" t="str">
        <f>IF(Tab_CONTRATOS[[#This Row],[ENCERRADO]]="Sim","***",ABS(Tab_CONTRATOS[[#This Row],[DIF DIAS]]))</f>
        <v>***</v>
      </c>
      <c r="AG45" s="28" t="str">
        <f>IF(Tab_CONTRATOS[[#This Row],[ENCERRADO]]="Sim","***",IF(Tab_CONTRATOS[[#This Row],[DIF DIAS]]=1," dia ",IF(Tab_CONTRATOS[[#This Row],[DIF DIAS]]&lt;&gt;0," dias ")))</f>
        <v>***</v>
      </c>
      <c r="AH45" s="28" t="str">
        <f>IF(Tab_CONTRATOS[[#This Row],[ENCERRADO]]="Sim","***",IF(Tab_CONTRATOS[[#This Row],[DIF DIAS]]=1,"Falta ",IF(Tab_CONTRATOS[[#This Row],[DIF DIAS]]&lt;&gt;0,"Faltam ")))</f>
        <v>***</v>
      </c>
      <c r="AI45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45" s="20" t="s">
        <v>62</v>
      </c>
      <c r="AK45" s="20" t="s">
        <v>388</v>
      </c>
      <c r="AL45" s="20"/>
      <c r="AM45" s="31"/>
      <c r="AN45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5" s="48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45" s="20" t="s">
        <v>58</v>
      </c>
      <c r="AQ45" s="28">
        <f>Tab_CONTRATOS[[#This Row],[LIMITE DE MESES]]-Tab_CONTRATOS[[#This Row],[TOTAL DE MESES]]</f>
        <v>0</v>
      </c>
      <c r="AR45" s="28"/>
      <c r="AS45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45" s="20" t="s">
        <v>110</v>
      </c>
      <c r="AU45" s="20"/>
      <c r="AV45" s="20"/>
      <c r="AW45" s="20"/>
    </row>
    <row r="46" spans="1:49" ht="42" customHeight="1" x14ac:dyDescent="0.25">
      <c r="A46" s="38" t="s">
        <v>389</v>
      </c>
      <c r="B46" s="20" t="s">
        <v>381</v>
      </c>
      <c r="C46" s="20" t="s">
        <v>382</v>
      </c>
      <c r="D46" s="21" t="s">
        <v>383</v>
      </c>
      <c r="E46" s="39" t="s">
        <v>390</v>
      </c>
      <c r="F46" s="18" t="s">
        <v>53</v>
      </c>
      <c r="G46" s="18" t="s">
        <v>385</v>
      </c>
      <c r="H46" s="18"/>
      <c r="I46" s="18"/>
      <c r="J46" s="18" t="s">
        <v>56</v>
      </c>
      <c r="K46" s="18" t="s">
        <v>57</v>
      </c>
      <c r="L46" s="22">
        <f>898250.4/12</f>
        <v>74854.2</v>
      </c>
      <c r="M46" s="23">
        <f>IF(Tab_CONTRATOS[[#This Row],[INSTRUMENTO]]="","",Tab_CONTRATOS[[#This Row],[VALOR MENSAL]]*12)</f>
        <v>898250.39999999991</v>
      </c>
      <c r="N46" s="24">
        <v>42335</v>
      </c>
      <c r="O46" s="24">
        <v>43048</v>
      </c>
      <c r="P46" s="25" t="s">
        <v>53</v>
      </c>
      <c r="Q46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23</v>
      </c>
      <c r="R46" s="25">
        <v>60</v>
      </c>
      <c r="S46" s="18" t="s">
        <v>270</v>
      </c>
      <c r="T46" s="18" t="s">
        <v>60</v>
      </c>
      <c r="U46" s="20" t="s">
        <v>391</v>
      </c>
      <c r="V46" s="20"/>
      <c r="W46" s="27"/>
      <c r="X46" s="28" t="e">
        <f>INDEX('[1]Apoio 2'!B:B,MATCH(Tab_CONTRATOS[[#This Row],[ITEM]],'[1]Apoio 2'!A:A,0))</f>
        <v>#N/A</v>
      </c>
      <c r="Y46" s="28" t="e">
        <f>INDEX('[1]Apoio 2'!C:C,MATCH(Tab_CONTRATOS[[#This Row],[TEMA DE CUSTO]],'[1]Apoio 2'!B:B,0))</f>
        <v>#N/A</v>
      </c>
      <c r="Z46" s="28" t="e">
        <f>INDEX('[1]Apoio 2'!D:D,MATCH(Tab_CONTRATOS[[#This Row],[TEMA DE CUSTO]],'[1]Apoio 2'!B:B,0))</f>
        <v>#N/A</v>
      </c>
      <c r="AA46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Row],[ABS]]&gt;0,CONCATENATE(AH46,Tab_CONTRATOS[[#This Row],[ABS]],Tab_CONTRATOS[[#This Row],[TXT DIA]]," para o vencimento")))),"Contrato Encerrado")</f>
        <v>Faltam 163 dias  para o vencimento</v>
      </c>
      <c r="AB46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46" s="29" t="str">
        <f>PROPER(TEXT(Tab_CONTRATOS[[#This Row],[FIM DA VIGÊNICA]],"Mmmm"))</f>
        <v>Novembro</v>
      </c>
      <c r="AD46" s="29">
        <f>YEAR(Tab_CONTRATOS[[#This Row],[FIM DA VIGÊNICA]])</f>
        <v>2017</v>
      </c>
      <c r="AE46" s="30">
        <f ca="1">IF(Tab_CONTRATOS[[#This Row],[ENCERRADO]]="Sim","***",Tab_CONTRATOS[[#This Row],[FIM DA VIGÊNICA]]-TODAY())</f>
        <v>163</v>
      </c>
      <c r="AF46" s="30">
        <f ca="1">IF(Tab_CONTRATOS[[#This Row],[ENCERRADO]]="Sim","***",ABS(Tab_CONTRATOS[[#This Row],[DIF DIAS]]))</f>
        <v>163</v>
      </c>
      <c r="AG46" s="28" t="str">
        <f ca="1">IF(Tab_CONTRATOS[[#This Row],[ENCERRADO]]="Sim","***",IF(Tab_CONTRATOS[[#This Row],[DIF DIAS]]=1," dia ",IF(Tab_CONTRATOS[[#This Row],[DIF DIAS]]&lt;&gt;0," dias ")))</f>
        <v xml:space="preserve"> dias </v>
      </c>
      <c r="AH46" s="28" t="str">
        <f ca="1">IF(Tab_CONTRATOS[[#This Row],[ENCERRADO]]="Sim","***",IF(Tab_CONTRATOS[[#This Row],[DIF DIAS]]=1,"Falta ",IF(Tab_CONTRATOS[[#This Row],[DIF DIAS]]&lt;&gt;0,"Faltam ")))</f>
        <v xml:space="preserve">Faltam </v>
      </c>
      <c r="AI46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6" s="20" t="s">
        <v>62</v>
      </c>
      <c r="AK46" s="20" t="s">
        <v>392</v>
      </c>
      <c r="AL46" s="20"/>
      <c r="AM46" s="31"/>
      <c r="AN46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6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823396.2</v>
      </c>
      <c r="AP46" s="20" t="s">
        <v>58</v>
      </c>
      <c r="AQ46" s="28">
        <f>Tab_CONTRATOS[[#This Row],[LIMITE DE MESES]]-Tab_CONTRATOS[[#This Row],[TOTAL DE MESES]]</f>
        <v>37</v>
      </c>
      <c r="AR46" s="28" t="s">
        <v>172</v>
      </c>
      <c r="AS46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37 meses</v>
      </c>
      <c r="AT46" s="20" t="s">
        <v>110</v>
      </c>
      <c r="AU46" s="20"/>
      <c r="AV46" s="20" t="s">
        <v>172</v>
      </c>
      <c r="AW46" s="20"/>
    </row>
    <row r="47" spans="1:49" ht="46.5" hidden="1" customHeight="1" x14ac:dyDescent="0.25">
      <c r="A47" s="18" t="s">
        <v>393</v>
      </c>
      <c r="B47" s="20" t="s">
        <v>394</v>
      </c>
      <c r="C47" s="20" t="s">
        <v>354</v>
      </c>
      <c r="D47" s="21" t="s">
        <v>395</v>
      </c>
      <c r="E47" s="39" t="s">
        <v>396</v>
      </c>
      <c r="F47" s="18" t="s">
        <v>53</v>
      </c>
      <c r="G47" s="18" t="s">
        <v>54</v>
      </c>
      <c r="H47" s="18" t="s">
        <v>149</v>
      </c>
      <c r="I47" s="18"/>
      <c r="J47" s="18" t="s">
        <v>56</v>
      </c>
      <c r="K47" s="18" t="s">
        <v>57</v>
      </c>
      <c r="L47" s="22">
        <f>5600/12</f>
        <v>466.66666666666669</v>
      </c>
      <c r="M47" s="23">
        <f>IF(Tab_CONTRATOS[[#This Row],[INSTRUMENTO]]="","",Tab_CONTRATOS[[#This Row],[VALOR MENSAL]]*12)</f>
        <v>5600</v>
      </c>
      <c r="N47" s="24">
        <v>42430</v>
      </c>
      <c r="O47" s="24">
        <v>42461</v>
      </c>
      <c r="P47" s="25" t="s">
        <v>58</v>
      </c>
      <c r="Q47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</v>
      </c>
      <c r="R47" s="25">
        <v>30</v>
      </c>
      <c r="S47" s="18" t="s">
        <v>107</v>
      </c>
      <c r="T47" s="18" t="s">
        <v>60</v>
      </c>
      <c r="U47" s="20" t="s">
        <v>397</v>
      </c>
      <c r="V47" s="20"/>
      <c r="W47" s="27"/>
      <c r="X47" s="28" t="e">
        <f>INDEX('[1]Apoio 2'!B:B,MATCH(Tab_CONTRATOS[[#This Row],[ITEM]],'[1]Apoio 2'!A:A,0))</f>
        <v>#N/A</v>
      </c>
      <c r="Y47" s="28" t="e">
        <f>INDEX('[1]Apoio 2'!C:C,MATCH(Tab_CONTRATOS[[#This Row],[TEMA DE CUSTO]],'[1]Apoio 2'!B:B,0))</f>
        <v>#N/A</v>
      </c>
      <c r="Z47" s="28" t="e">
        <f>INDEX('[1]Apoio 2'!D:D,MATCH(Tab_CONTRATOS[[#This Row],[TEMA DE CUSTO]],'[1]Apoio 2'!B:B,0))</f>
        <v>#N/A</v>
      </c>
      <c r="AA47" s="29" t="str">
        <f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Row],[ABS]]&gt;0,CONCATENATE(AH47,Tab_CONTRATOS[[#This Row],[ABS]],Tab_CONTRATOS[[#This Row],[TXT DIA]]," para o vencimento")))),"Contrato Encerrado")</f>
        <v>Contrato Encerrado</v>
      </c>
      <c r="AB47" s="29" t="str">
        <f>IF(Tab_CONTRATOS[[#This Row],[ENCERRADO]]="Sim","Encerrado",IF(Tab_CONTRATOS[[#This Row],[DIF DIAS]]&gt;=0,"Em Execução",IF(Tab_CONTRATOS[[#This Row],[DIF DIAS]]&lt;0,"Vencido","ERRO!")))</f>
        <v>Encerrado</v>
      </c>
      <c r="AC47" s="29" t="str">
        <f>PROPER(TEXT(Tab_CONTRATOS[[#This Row],[FIM DA VIGÊNICA]],"Mmmm"))</f>
        <v>Abril</v>
      </c>
      <c r="AD47" s="29">
        <f>YEAR(Tab_CONTRATOS[[#This Row],[FIM DA VIGÊNICA]])</f>
        <v>2016</v>
      </c>
      <c r="AE47" s="30" t="str">
        <f ca="1">IF(Tab_CONTRATOS[[#This Row],[ENCERRADO]]="Sim","***",Tab_CONTRATOS[[#This Row],[FIM DA VIGÊNICA]]-TODAY())</f>
        <v>***</v>
      </c>
      <c r="AF47" s="30" t="str">
        <f>IF(Tab_CONTRATOS[[#This Row],[ENCERRADO]]="Sim","***",ABS(Tab_CONTRATOS[[#This Row],[DIF DIAS]]))</f>
        <v>***</v>
      </c>
      <c r="AG47" s="28" t="str">
        <f>IF(Tab_CONTRATOS[[#This Row],[ENCERRADO]]="Sim","***",IF(Tab_CONTRATOS[[#This Row],[DIF DIAS]]=1," dia ",IF(Tab_CONTRATOS[[#This Row],[DIF DIAS]]&lt;&gt;0," dias ")))</f>
        <v>***</v>
      </c>
      <c r="AH47" s="28" t="str">
        <f>IF(Tab_CONTRATOS[[#This Row],[ENCERRADO]]="Sim","***",IF(Tab_CONTRATOS[[#This Row],[DIF DIAS]]=1,"Falta ",IF(Tab_CONTRATOS[[#This Row],[DIF DIAS]]&lt;&gt;0,"Faltam ")))</f>
        <v>***</v>
      </c>
      <c r="AI47" s="28" t="str">
        <f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Encerrado</v>
      </c>
      <c r="AJ47" s="20" t="s">
        <v>71</v>
      </c>
      <c r="AK47" s="20"/>
      <c r="AL47" s="20"/>
      <c r="AM47" s="31"/>
      <c r="AN47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7" s="48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0</v>
      </c>
      <c r="AP47" s="20" t="s">
        <v>58</v>
      </c>
      <c r="AQ47" s="28">
        <f>Tab_CONTRATOS[[#This Row],[LIMITE DE MESES]]-Tab_CONTRATOS[[#This Row],[TOTAL DE MESES]]</f>
        <v>29</v>
      </c>
      <c r="AR47" s="28"/>
      <c r="AS47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Encerrado</v>
      </c>
      <c r="AT47" s="20"/>
      <c r="AU47" s="20"/>
      <c r="AV47" s="20"/>
      <c r="AW47" s="20"/>
    </row>
    <row r="48" spans="1:49" ht="73.5" customHeight="1" x14ac:dyDescent="0.25">
      <c r="A48" s="35" t="s">
        <v>398</v>
      </c>
      <c r="B48" s="20" t="s">
        <v>394</v>
      </c>
      <c r="C48" s="20" t="s">
        <v>399</v>
      </c>
      <c r="D48" s="21" t="s">
        <v>395</v>
      </c>
      <c r="E48" s="39" t="s">
        <v>400</v>
      </c>
      <c r="F48" s="18" t="s">
        <v>53</v>
      </c>
      <c r="G48" s="18" t="s">
        <v>54</v>
      </c>
      <c r="H48" s="18" t="s">
        <v>149</v>
      </c>
      <c r="I48" s="18"/>
      <c r="J48" s="18" t="s">
        <v>56</v>
      </c>
      <c r="K48" s="18" t="s">
        <v>57</v>
      </c>
      <c r="L48" s="22">
        <f>4*1037.5</f>
        <v>4150</v>
      </c>
      <c r="M48" s="23">
        <f>IF(Tab_CONTRATOS[[#This Row],[INSTRUMENTO]]="","",Tab_CONTRATOS[[#This Row],[VALOR MENSAL]]*12)</f>
        <v>49800</v>
      </c>
      <c r="N48" s="40">
        <v>42430</v>
      </c>
      <c r="O48" s="40">
        <v>43160</v>
      </c>
      <c r="P48" s="25" t="s">
        <v>53</v>
      </c>
      <c r="Q48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48" s="42">
        <v>60</v>
      </c>
      <c r="S48" s="43" t="s">
        <v>107</v>
      </c>
      <c r="T48" s="18" t="s">
        <v>60</v>
      </c>
      <c r="U48" s="20" t="s">
        <v>401</v>
      </c>
      <c r="V48" s="20"/>
      <c r="W48" s="27"/>
      <c r="X48" s="28" t="e">
        <f>INDEX('[1]Apoio 2'!B:B,MATCH(Tab_CONTRATOS[[#This Row],[ITEM]],'[1]Apoio 2'!A:A,0))</f>
        <v>#N/A</v>
      </c>
      <c r="Y48" s="28" t="e">
        <f>INDEX('[1]Apoio 2'!C:C,MATCH(Tab_CONTRATOS[[#This Row],[TEMA DE CUSTO]],'[1]Apoio 2'!B:B,0))</f>
        <v>#N/A</v>
      </c>
      <c r="Z48" s="28" t="e">
        <f>INDEX('[1]Apoio 2'!D:D,MATCH(Tab_CONTRATOS[[#This Row],[TEMA DE CUSTO]],'[1]Apoio 2'!B:B,0))</f>
        <v>#N/A</v>
      </c>
      <c r="AA48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Row],[ABS]]&gt;0,CONCATENATE(AH48,Tab_CONTRATOS[[#This Row],[ABS]],Tab_CONTRATOS[[#This Row],[TXT DIA]]," para o vencimento")))),"Contrato Encerrado")</f>
        <v>Faltam 275 dias  para o vencimento</v>
      </c>
      <c r="AB48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48" s="29" t="str">
        <f>PROPER(TEXT(Tab_CONTRATOS[[#This Row],[FIM DA VIGÊNICA]],"Mmmm"))</f>
        <v>Março</v>
      </c>
      <c r="AD48" s="29">
        <f>YEAR(Tab_CONTRATOS[[#This Row],[FIM DA VIGÊNICA]])</f>
        <v>2018</v>
      </c>
      <c r="AE48" s="44">
        <f ca="1">IF(Tab_CONTRATOS[[#This Row],[ENCERRADO]]="Sim","***",Tab_CONTRATOS[[#This Row],[FIM DA VIGÊNICA]]-TODAY())</f>
        <v>275</v>
      </c>
      <c r="AF48" s="30">
        <f ca="1">IF(Tab_CONTRATOS[[#This Row],[ENCERRADO]]="Sim","***",ABS(Tab_CONTRATOS[[#This Row],[DIF DIAS]]))</f>
        <v>275</v>
      </c>
      <c r="AG48" s="28" t="str">
        <f ca="1">IF(Tab_CONTRATOS[[#This Row],[ENCERRADO]]="Sim","***",IF(Tab_CONTRATOS[[#This Row],[DIF DIAS]]=1," dia ",IF(Tab_CONTRATOS[[#This Row],[DIF DIAS]]&lt;&gt;0," dias ")))</f>
        <v xml:space="preserve"> dias </v>
      </c>
      <c r="AH48" s="28" t="str">
        <f ca="1">IF(Tab_CONTRATOS[[#This Row],[ENCERRADO]]="Sim","***",IF(Tab_CONTRATOS[[#This Row],[DIF DIAS]]=1,"Falta ",IF(Tab_CONTRATOS[[#This Row],[DIF DIAS]]&lt;&gt;0,"Faltam ")))</f>
        <v xml:space="preserve">Faltam </v>
      </c>
      <c r="AI48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8" s="45" t="s">
        <v>62</v>
      </c>
      <c r="AK48" s="20" t="s">
        <v>402</v>
      </c>
      <c r="AL48" s="20"/>
      <c r="AM48" s="31"/>
      <c r="AN48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48" s="46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49800</v>
      </c>
      <c r="AP48" s="20" t="s">
        <v>58</v>
      </c>
      <c r="AQ48" s="28">
        <f>Tab_CONTRATOS[[#This Row],[LIMITE DE MESES]]-Tab_CONTRATOS[[#This Row],[TOTAL DE MESES]]</f>
        <v>36</v>
      </c>
      <c r="AR48" s="28"/>
      <c r="AS48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48" s="20" t="s">
        <v>403</v>
      </c>
      <c r="AU48" s="20"/>
      <c r="AV48" s="20" t="s">
        <v>404</v>
      </c>
      <c r="AW48" s="20" t="s">
        <v>207</v>
      </c>
    </row>
    <row r="49" spans="1:49" ht="42" customHeight="1" x14ac:dyDescent="0.25">
      <c r="A49" s="38" t="s">
        <v>250</v>
      </c>
      <c r="B49" s="20" t="s">
        <v>394</v>
      </c>
      <c r="C49" s="20" t="s">
        <v>176</v>
      </c>
      <c r="D49" s="39" t="s">
        <v>177</v>
      </c>
      <c r="E49" s="39" t="s">
        <v>405</v>
      </c>
      <c r="F49" s="18" t="s">
        <v>58</v>
      </c>
      <c r="G49" s="18" t="s">
        <v>54</v>
      </c>
      <c r="H49" s="18" t="s">
        <v>149</v>
      </c>
      <c r="I49" s="18"/>
      <c r="J49" s="18" t="s">
        <v>56</v>
      </c>
      <c r="K49" s="18" t="s">
        <v>57</v>
      </c>
      <c r="L49" s="22">
        <v>89864.81</v>
      </c>
      <c r="M49" s="23">
        <f>IF(Tab_CONTRATOS[[#This Row],[INSTRUMENTO]]="","",Tab_CONTRATOS[[#This Row],[VALOR MENSAL]]*12)</f>
        <v>1078377.72</v>
      </c>
      <c r="N49" s="40">
        <v>42373</v>
      </c>
      <c r="O49" s="40">
        <v>43103</v>
      </c>
      <c r="P49" s="25" t="s">
        <v>53</v>
      </c>
      <c r="Q49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24</v>
      </c>
      <c r="R49" s="42">
        <v>60</v>
      </c>
      <c r="S49" s="43" t="s">
        <v>406</v>
      </c>
      <c r="T49" s="18" t="s">
        <v>60</v>
      </c>
      <c r="U49" s="20" t="s">
        <v>407</v>
      </c>
      <c r="V49" s="20"/>
      <c r="W49" s="27"/>
      <c r="X49" s="28" t="e">
        <f>INDEX('[1]Apoio 2'!B:B,MATCH(Tab_CONTRATOS[[#This Row],[ITEM]],'[1]Apoio 2'!A:A,0))</f>
        <v>#N/A</v>
      </c>
      <c r="Y49" s="28" t="e">
        <f>INDEX('[1]Apoio 2'!C:C,MATCH(Tab_CONTRATOS[[#This Row],[TEMA DE CUSTO]],'[1]Apoio 2'!B:B,0))</f>
        <v>#N/A</v>
      </c>
      <c r="Z49" s="28" t="e">
        <f>INDEX('[1]Apoio 2'!D:D,MATCH(Tab_CONTRATOS[[#This Row],[TEMA DE CUSTO]],'[1]Apoio 2'!B:B,0))</f>
        <v>#N/A</v>
      </c>
      <c r="AA49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Row],[ABS]]&gt;0,CONCATENATE(AH49,Tab_CONTRATOS[[#This Row],[ABS]],Tab_CONTRATOS[[#This Row],[TXT DIA]]," para o vencimento")))),"Contrato Encerrado")</f>
        <v>Faltam 218 dias  para o vencimento</v>
      </c>
      <c r="AB49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49" s="29" t="str">
        <f>PROPER(TEXT(Tab_CONTRATOS[[#This Row],[FIM DA VIGÊNICA]],"Mmmm"))</f>
        <v>Janeiro</v>
      </c>
      <c r="AD49" s="29">
        <f>YEAR(Tab_CONTRATOS[[#This Row],[FIM DA VIGÊNICA]])</f>
        <v>2018</v>
      </c>
      <c r="AE49" s="44">
        <f ca="1">IF(Tab_CONTRATOS[[#This Row],[ENCERRADO]]="Sim","***",Tab_CONTRATOS[[#This Row],[FIM DA VIGÊNICA]]-TODAY())</f>
        <v>218</v>
      </c>
      <c r="AF49" s="30">
        <f ca="1">IF(Tab_CONTRATOS[[#This Row],[ENCERRADO]]="Sim","***",ABS(Tab_CONTRATOS[[#This Row],[DIF DIAS]]))</f>
        <v>218</v>
      </c>
      <c r="AG49" s="28" t="str">
        <f ca="1">IF(Tab_CONTRATOS[[#This Row],[ENCERRADO]]="Sim","***",IF(Tab_CONTRATOS[[#This Row],[DIF DIAS]]=1," dia ",IF(Tab_CONTRATOS[[#This Row],[DIF DIAS]]&lt;&gt;0," dias ")))</f>
        <v xml:space="preserve"> dias </v>
      </c>
      <c r="AH49" s="28" t="str">
        <f ca="1">IF(Tab_CONTRATOS[[#This Row],[ENCERRADO]]="Sim","***",IF(Tab_CONTRATOS[[#This Row],[DIF DIAS]]=1,"Falta ",IF(Tab_CONTRATOS[[#This Row],[DIF DIAS]]&lt;&gt;0,"Faltam ")))</f>
        <v xml:space="preserve">Faltam </v>
      </c>
      <c r="AI49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49" s="20" t="s">
        <v>62</v>
      </c>
      <c r="AK49" s="20" t="s">
        <v>402</v>
      </c>
      <c r="AL49" s="20"/>
      <c r="AM49" s="31">
        <v>42416</v>
      </c>
      <c r="AN49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Março</v>
      </c>
      <c r="AO49" s="46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1078377.72</v>
      </c>
      <c r="AP49" s="20" t="s">
        <v>58</v>
      </c>
      <c r="AQ49" s="28">
        <f>Tab_CONTRATOS[[#This Row],[LIMITE DE MESES]]-Tab_CONTRATOS[[#This Row],[TOTAL DE MESES]]</f>
        <v>36</v>
      </c>
      <c r="AR49" s="28"/>
      <c r="AS49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36 meses</v>
      </c>
      <c r="AT49" s="20" t="s">
        <v>408</v>
      </c>
      <c r="AU49" s="20"/>
      <c r="AV49" s="20" t="s">
        <v>409</v>
      </c>
      <c r="AW49" s="20" t="s">
        <v>207</v>
      </c>
    </row>
    <row r="50" spans="1:49" ht="52.5" customHeight="1" x14ac:dyDescent="0.25">
      <c r="A50" s="35" t="s">
        <v>410</v>
      </c>
      <c r="B50" s="20" t="s">
        <v>394</v>
      </c>
      <c r="C50" s="20" t="s">
        <v>411</v>
      </c>
      <c r="D50" s="21" t="s">
        <v>412</v>
      </c>
      <c r="E50" s="39" t="s">
        <v>413</v>
      </c>
      <c r="F50" s="18" t="s">
        <v>53</v>
      </c>
      <c r="G50" s="18" t="s">
        <v>54</v>
      </c>
      <c r="H50" s="18" t="s">
        <v>55</v>
      </c>
      <c r="I50" s="18"/>
      <c r="J50" s="18" t="s">
        <v>56</v>
      </c>
      <c r="K50" s="18" t="s">
        <v>57</v>
      </c>
      <c r="L50" s="22">
        <f>31694.64/12</f>
        <v>2641.22</v>
      </c>
      <c r="M50" s="23">
        <f>IF(Tab_CONTRATOS[[#This Row],[INSTRUMENTO]]="","",Tab_CONTRATOS[[#This Row],[VALOR MENSAL]]*12)</f>
        <v>31694.639999999999</v>
      </c>
      <c r="N50" s="24">
        <v>42552</v>
      </c>
      <c r="O50" s="24">
        <v>42917</v>
      </c>
      <c r="P50" s="25" t="s">
        <v>53</v>
      </c>
      <c r="Q50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50" s="25">
        <v>60</v>
      </c>
      <c r="S50" s="18" t="s">
        <v>107</v>
      </c>
      <c r="T50" s="18" t="s">
        <v>78</v>
      </c>
      <c r="U50" s="20" t="s">
        <v>414</v>
      </c>
      <c r="V50" s="20"/>
      <c r="W50" s="27"/>
      <c r="X50" s="28" t="e">
        <f>INDEX('[1]Apoio 2'!B:B,MATCH(Tab_CONTRATOS[[#This Row],[ITEM]],'[1]Apoio 2'!A:A,0))</f>
        <v>#N/A</v>
      </c>
      <c r="Y50" s="28" t="e">
        <f>INDEX('[1]Apoio 2'!C:C,MATCH(Tab_CONTRATOS[[#This Row],[TEMA DE CUSTO]],'[1]Apoio 2'!B:B,0))</f>
        <v>#N/A</v>
      </c>
      <c r="Z50" s="28" t="e">
        <f>INDEX('[1]Apoio 2'!D:D,MATCH(Tab_CONTRATOS[[#This Row],[TEMA DE CUSTO]],'[1]Apoio 2'!B:B,0))</f>
        <v>#N/A</v>
      </c>
      <c r="AA50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Row],[ABS]]&gt;0,CONCATENATE(AH50,Tab_CONTRATOS[[#This Row],[ABS]],Tab_CONTRATOS[[#This Row],[TXT DIA]]," para o vencimento")))),"Contrato Encerrado")</f>
        <v>Faltam 32 dias  para o vencimento</v>
      </c>
      <c r="AB50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50" s="29" t="str">
        <f>PROPER(TEXT(Tab_CONTRATOS[[#This Row],[FIM DA VIGÊNICA]],"Mmmm"))</f>
        <v>Julho</v>
      </c>
      <c r="AD50" s="29">
        <f>YEAR(Tab_CONTRATOS[[#This Row],[FIM DA VIGÊNICA]])</f>
        <v>2017</v>
      </c>
      <c r="AE50" s="30">
        <f ca="1">IF(Tab_CONTRATOS[[#This Row],[ENCERRADO]]="Sim","***",Tab_CONTRATOS[[#This Row],[FIM DA VIGÊNICA]]-TODAY())</f>
        <v>32</v>
      </c>
      <c r="AF50" s="30">
        <f ca="1">IF(Tab_CONTRATOS[[#This Row],[ENCERRADO]]="Sim","***",ABS(Tab_CONTRATOS[[#This Row],[DIF DIAS]]))</f>
        <v>32</v>
      </c>
      <c r="AG50" s="28" t="str">
        <f ca="1">IF(Tab_CONTRATOS[[#This Row],[ENCERRADO]]="Sim","***",IF(Tab_CONTRATOS[[#This Row],[DIF DIAS]]=1," dia ",IF(Tab_CONTRATOS[[#This Row],[DIF DIAS]]&lt;&gt;0," dias ")))</f>
        <v xml:space="preserve"> dias </v>
      </c>
      <c r="AH50" s="28" t="str">
        <f ca="1">IF(Tab_CONTRATOS[[#This Row],[ENCERRADO]]="Sim","***",IF(Tab_CONTRATOS[[#This Row],[DIF DIAS]]=1,"Falta ",IF(Tab_CONTRATOS[[#This Row],[DIF DIAS]]&lt;&gt;0,"Faltam ")))</f>
        <v xml:space="preserve">Faltam </v>
      </c>
      <c r="AI50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De 31 a 60 Dias</v>
      </c>
      <c r="AJ50" s="20" t="s">
        <v>71</v>
      </c>
      <c r="AK50" s="20" t="s">
        <v>415</v>
      </c>
      <c r="AL50" s="20"/>
      <c r="AM50" s="31"/>
      <c r="AN50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50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18488.539999999997</v>
      </c>
      <c r="AP50" s="20" t="s">
        <v>58</v>
      </c>
      <c r="AQ50" s="28">
        <f>Tab_CONTRATOS[[#This Row],[LIMITE DE MESES]]-Tab_CONTRATOS[[#This Row],[TOTAL DE MESES]]</f>
        <v>48</v>
      </c>
      <c r="AR50" s="28"/>
      <c r="AS50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50" s="20" t="s">
        <v>110</v>
      </c>
      <c r="AU50" s="20"/>
      <c r="AV50" s="20" t="s">
        <v>416</v>
      </c>
      <c r="AW50" s="20"/>
    </row>
    <row r="51" spans="1:49" ht="38.25" customHeight="1" x14ac:dyDescent="0.25">
      <c r="A51" s="38" t="s">
        <v>417</v>
      </c>
      <c r="B51" s="20" t="s">
        <v>394</v>
      </c>
      <c r="C51" s="20" t="s">
        <v>137</v>
      </c>
      <c r="D51" s="21" t="s">
        <v>138</v>
      </c>
      <c r="E51" s="39" t="s">
        <v>418</v>
      </c>
      <c r="F51" s="18" t="s">
        <v>58</v>
      </c>
      <c r="G51" s="18" t="s">
        <v>54</v>
      </c>
      <c r="H51" s="18" t="s">
        <v>149</v>
      </c>
      <c r="I51" s="18"/>
      <c r="J51" s="18" t="s">
        <v>56</v>
      </c>
      <c r="K51" s="18" t="s">
        <v>57</v>
      </c>
      <c r="L51" s="22">
        <v>49461.33</v>
      </c>
      <c r="M51" s="23">
        <f>IF(Tab_CONTRATOS[[#This Row],[INSTRUMENTO]]="","",Tab_CONTRATOS[[#This Row],[VALOR MENSAL]]*12)</f>
        <v>593535.96</v>
      </c>
      <c r="N51" s="24">
        <v>42559</v>
      </c>
      <c r="O51" s="24">
        <v>42924</v>
      </c>
      <c r="P51" s="25" t="s">
        <v>53</v>
      </c>
      <c r="Q51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51" s="25">
        <v>60</v>
      </c>
      <c r="S51" s="18" t="s">
        <v>419</v>
      </c>
      <c r="T51" s="18" t="s">
        <v>60</v>
      </c>
      <c r="U51" s="20" t="s">
        <v>420</v>
      </c>
      <c r="V51" s="20"/>
      <c r="W51" s="27"/>
      <c r="X51" s="28" t="e">
        <f>INDEX('[1]Apoio 2'!B:B,MATCH(Tab_CONTRATOS[[#This Row],[ITEM]],'[1]Apoio 2'!A:A,0))</f>
        <v>#N/A</v>
      </c>
      <c r="Y51" s="28" t="e">
        <f>INDEX('[1]Apoio 2'!C:C,MATCH(Tab_CONTRATOS[[#This Row],[TEMA DE CUSTO]],'[1]Apoio 2'!B:B,0))</f>
        <v>#N/A</v>
      </c>
      <c r="Z51" s="28" t="e">
        <f>INDEX('[1]Apoio 2'!D:D,MATCH(Tab_CONTRATOS[[#This Row],[TEMA DE CUSTO]],'[1]Apoio 2'!B:B,0))</f>
        <v>#N/A</v>
      </c>
      <c r="AA51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Row],[ABS]]&gt;0,CONCATENATE(AH51,Tab_CONTRATOS[[#This Row],[ABS]],Tab_CONTRATOS[[#This Row],[TXT DIA]]," para o vencimento")))),"Contrato Encerrado")</f>
        <v>Faltam 39 dias  para o vencimento</v>
      </c>
      <c r="AB51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51" s="29" t="str">
        <f>PROPER(TEXT(Tab_CONTRATOS[[#This Row],[FIM DA VIGÊNICA]],"Mmmm"))</f>
        <v>Julho</v>
      </c>
      <c r="AD51" s="29">
        <f>YEAR(Tab_CONTRATOS[[#This Row],[FIM DA VIGÊNICA]])</f>
        <v>2017</v>
      </c>
      <c r="AE51" s="30">
        <f ca="1">IF(Tab_CONTRATOS[[#This Row],[ENCERRADO]]="Sim","***",Tab_CONTRATOS[[#This Row],[FIM DA VIGÊNICA]]-TODAY())</f>
        <v>39</v>
      </c>
      <c r="AF51" s="30">
        <f ca="1">IF(Tab_CONTRATOS[[#This Row],[ENCERRADO]]="Sim","***",ABS(Tab_CONTRATOS[[#This Row],[DIF DIAS]]))</f>
        <v>39</v>
      </c>
      <c r="AG51" s="28" t="str">
        <f ca="1">IF(Tab_CONTRATOS[[#This Row],[ENCERRADO]]="Sim","***",IF(Tab_CONTRATOS[[#This Row],[DIF DIAS]]=1," dia ",IF(Tab_CONTRATOS[[#This Row],[DIF DIAS]]&lt;&gt;0," dias ")))</f>
        <v xml:space="preserve"> dias </v>
      </c>
      <c r="AH51" s="28" t="str">
        <f ca="1">IF(Tab_CONTRATOS[[#This Row],[ENCERRADO]]="Sim","***",IF(Tab_CONTRATOS[[#This Row],[DIF DIAS]]=1,"Falta ",IF(Tab_CONTRATOS[[#This Row],[DIF DIAS]]&lt;&gt;0,"Faltam ")))</f>
        <v xml:space="preserve">Faltam </v>
      </c>
      <c r="AI51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De 31 a 60 Dias</v>
      </c>
      <c r="AJ51" s="20" t="s">
        <v>62</v>
      </c>
      <c r="AK51" s="20" t="s">
        <v>421</v>
      </c>
      <c r="AL51" s="20"/>
      <c r="AM51" s="31">
        <v>42530</v>
      </c>
      <c r="AN51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Julho</v>
      </c>
      <c r="AO51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346229.31</v>
      </c>
      <c r="AP51" s="20" t="s">
        <v>58</v>
      </c>
      <c r="AQ51" s="28">
        <f>Tab_CONTRATOS[[#This Row],[LIMITE DE MESES]]-Tab_CONTRATOS[[#This Row],[TOTAL DE MESES]]</f>
        <v>48</v>
      </c>
      <c r="AR51" s="28"/>
      <c r="AS51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51" s="20" t="s">
        <v>110</v>
      </c>
      <c r="AU51" s="20"/>
      <c r="AV51" s="36" t="s">
        <v>422</v>
      </c>
      <c r="AW51" s="20" t="s">
        <v>207</v>
      </c>
    </row>
    <row r="52" spans="1:49" ht="36" customHeight="1" x14ac:dyDescent="0.25">
      <c r="A52" s="35" t="s">
        <v>423</v>
      </c>
      <c r="B52" s="20" t="s">
        <v>394</v>
      </c>
      <c r="C52" s="20" t="s">
        <v>243</v>
      </c>
      <c r="D52" s="21" t="s">
        <v>244</v>
      </c>
      <c r="E52" s="39" t="s">
        <v>424</v>
      </c>
      <c r="F52" s="18" t="s">
        <v>53</v>
      </c>
      <c r="G52" s="18" t="s">
        <v>54</v>
      </c>
      <c r="H52" s="18" t="s">
        <v>149</v>
      </c>
      <c r="I52" s="18"/>
      <c r="J52" s="18" t="s">
        <v>56</v>
      </c>
      <c r="K52" s="18" t="s">
        <v>57</v>
      </c>
      <c r="L52" s="22">
        <f>335995.18/12</f>
        <v>27999.598333333332</v>
      </c>
      <c r="M52" s="23">
        <f>IF(Tab_CONTRATOS[[#This Row],[INSTRUMENTO]]="","",Tab_CONTRATOS[[#This Row],[VALOR MENSAL]]*12)</f>
        <v>335995.18</v>
      </c>
      <c r="N52" s="40">
        <v>42587</v>
      </c>
      <c r="O52" s="40">
        <v>42952</v>
      </c>
      <c r="P52" s="25" t="s">
        <v>53</v>
      </c>
      <c r="Q52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52" s="42">
        <v>60</v>
      </c>
      <c r="S52" s="43" t="s">
        <v>107</v>
      </c>
      <c r="T52" s="18" t="s">
        <v>78</v>
      </c>
      <c r="U52" s="20" t="s">
        <v>425</v>
      </c>
      <c r="V52" s="20"/>
      <c r="W52" s="27"/>
      <c r="X52" s="28" t="e">
        <f>INDEX('[1]Apoio 2'!B:B,MATCH(Tab_CONTRATOS[[#This Row],[ITEM]],'[1]Apoio 2'!A:A,0))</f>
        <v>#N/A</v>
      </c>
      <c r="Y52" s="28" t="e">
        <f>INDEX('[1]Apoio 2'!C:C,MATCH(Tab_CONTRATOS[[#This Row],[TEMA DE CUSTO]],'[1]Apoio 2'!B:B,0))</f>
        <v>#N/A</v>
      </c>
      <c r="Z52" s="28" t="e">
        <f>INDEX('[1]Apoio 2'!D:D,MATCH(Tab_CONTRATOS[[#This Row],[TEMA DE CUSTO]],'[1]Apoio 2'!B:B,0))</f>
        <v>#N/A</v>
      </c>
      <c r="AA52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Row],[ABS]]&gt;0,CONCATENATE(AH52,Tab_CONTRATOS[[#This Row],[ABS]],Tab_CONTRATOS[[#This Row],[TXT DIA]]," para o vencimento")))),"Contrato Encerrado")</f>
        <v>Faltam 67 dias  para o vencimento</v>
      </c>
      <c r="AB52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52" s="29" t="str">
        <f>PROPER(TEXT(Tab_CONTRATOS[[#This Row],[FIM DA VIGÊNICA]],"Mmmm"))</f>
        <v>Agosto</v>
      </c>
      <c r="AD52" s="29">
        <f>YEAR(Tab_CONTRATOS[[#This Row],[FIM DA VIGÊNICA]])</f>
        <v>2017</v>
      </c>
      <c r="AE52" s="44">
        <f ca="1">IF(Tab_CONTRATOS[[#This Row],[ENCERRADO]]="Sim","***",Tab_CONTRATOS[[#This Row],[FIM DA VIGÊNICA]]-TODAY())</f>
        <v>67</v>
      </c>
      <c r="AF52" s="30">
        <f ca="1">IF(Tab_CONTRATOS[[#This Row],[ENCERRADO]]="Sim","***",ABS(Tab_CONTRATOS[[#This Row],[DIF DIAS]]))</f>
        <v>67</v>
      </c>
      <c r="AG52" s="28" t="str">
        <f ca="1">IF(Tab_CONTRATOS[[#This Row],[ENCERRADO]]="Sim","***",IF(Tab_CONTRATOS[[#This Row],[DIF DIAS]]=1," dia ",IF(Tab_CONTRATOS[[#This Row],[DIF DIAS]]&lt;&gt;0," dias ")))</f>
        <v xml:space="preserve"> dias </v>
      </c>
      <c r="AH52" s="28" t="str">
        <f ca="1">IF(Tab_CONTRATOS[[#This Row],[ENCERRADO]]="Sim","***",IF(Tab_CONTRATOS[[#This Row],[DIF DIAS]]=1,"Falta ",IF(Tab_CONTRATOS[[#This Row],[DIF DIAS]]&lt;&gt;0,"Faltam ")))</f>
        <v xml:space="preserve">Faltam </v>
      </c>
      <c r="AI52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De 61 a 90 Dias</v>
      </c>
      <c r="AJ52" s="20" t="s">
        <v>62</v>
      </c>
      <c r="AK52" s="20" t="s">
        <v>426</v>
      </c>
      <c r="AL52" s="20"/>
      <c r="AM52" s="31"/>
      <c r="AN52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52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223996.78666666665</v>
      </c>
      <c r="AP52" s="20" t="s">
        <v>58</v>
      </c>
      <c r="AQ52" s="28">
        <f>Tab_CONTRATOS[[#This Row],[LIMITE DE MESES]]-Tab_CONTRATOS[[#This Row],[TOTAL DE MESES]]</f>
        <v>48</v>
      </c>
      <c r="AR52" s="28" t="s">
        <v>172</v>
      </c>
      <c r="AS52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52" s="20" t="s">
        <v>427</v>
      </c>
      <c r="AU52" s="73"/>
      <c r="AV52" s="36" t="s">
        <v>428</v>
      </c>
      <c r="AW52" s="20"/>
    </row>
    <row r="53" spans="1:49" ht="50.25" customHeight="1" x14ac:dyDescent="0.25">
      <c r="A53" s="38" t="s">
        <v>429</v>
      </c>
      <c r="B53" s="20" t="s">
        <v>394</v>
      </c>
      <c r="C53" s="20" t="s">
        <v>430</v>
      </c>
      <c r="D53" s="21" t="s">
        <v>431</v>
      </c>
      <c r="E53" s="39" t="s">
        <v>432</v>
      </c>
      <c r="F53" s="18" t="s">
        <v>58</v>
      </c>
      <c r="G53" s="18" t="s">
        <v>95</v>
      </c>
      <c r="H53" s="18" t="s">
        <v>96</v>
      </c>
      <c r="I53" s="18"/>
      <c r="J53" s="18" t="s">
        <v>56</v>
      </c>
      <c r="K53" s="18" t="s">
        <v>57</v>
      </c>
      <c r="L53" s="22">
        <v>27882.240000000002</v>
      </c>
      <c r="M53" s="23">
        <f>IF(Tab_CONTRATOS[[#This Row],[INSTRUMENTO]]="","",Tab_CONTRATOS[[#This Row],[VALOR MENSAL]]*12)</f>
        <v>334586.88</v>
      </c>
      <c r="N53" s="40">
        <v>42611</v>
      </c>
      <c r="O53" s="40">
        <v>42979</v>
      </c>
      <c r="P53" s="25" t="s">
        <v>53</v>
      </c>
      <c r="Q53" s="41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53" s="42">
        <v>60</v>
      </c>
      <c r="S53" s="43" t="s">
        <v>107</v>
      </c>
      <c r="T53" s="18" t="s">
        <v>60</v>
      </c>
      <c r="U53" s="20" t="s">
        <v>433</v>
      </c>
      <c r="V53" s="20" t="s">
        <v>434</v>
      </c>
      <c r="W53" s="27"/>
      <c r="X53" s="28" t="e">
        <f>INDEX('[1]Apoio 2'!B:B,MATCH(Tab_CONTRATOS[[#This Row],[ITEM]],'[1]Apoio 2'!A:A,0))</f>
        <v>#N/A</v>
      </c>
      <c r="Y53" s="28" t="e">
        <f>INDEX('[1]Apoio 2'!C:C,MATCH(Tab_CONTRATOS[[#This Row],[TEMA DE CUSTO]],'[1]Apoio 2'!B:B,0))</f>
        <v>#N/A</v>
      </c>
      <c r="Z53" s="28" t="e">
        <f>INDEX('[1]Apoio 2'!D:D,MATCH(Tab_CONTRATOS[[#This Row],[TEMA DE CUSTO]],'[1]Apoio 2'!B:B,0))</f>
        <v>#N/A</v>
      </c>
      <c r="AA53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Row],[ABS]]&gt;0,CONCATENATE(AH53,Tab_CONTRATOS[[#This Row],[ABS]],Tab_CONTRATOS[[#This Row],[TXT DIA]]," para o vencimento")))),"Contrato Encerrado")</f>
        <v>Faltam 94 dias  para o vencimento</v>
      </c>
      <c r="AB53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53" s="29" t="str">
        <f>PROPER(TEXT(Tab_CONTRATOS[[#This Row],[FIM DA VIGÊNICA]],"Mmmm"))</f>
        <v>Setembro</v>
      </c>
      <c r="AD53" s="29">
        <f>YEAR(Tab_CONTRATOS[[#This Row],[FIM DA VIGÊNICA]])</f>
        <v>2017</v>
      </c>
      <c r="AE53" s="44">
        <f ca="1">IF(Tab_CONTRATOS[[#This Row],[ENCERRADO]]="Sim","***",Tab_CONTRATOS[[#This Row],[FIM DA VIGÊNICA]]-TODAY())</f>
        <v>94</v>
      </c>
      <c r="AF53" s="30">
        <f ca="1">IF(Tab_CONTRATOS[[#This Row],[ENCERRADO]]="Sim","***",ABS(Tab_CONTRATOS[[#This Row],[DIF DIAS]]))</f>
        <v>94</v>
      </c>
      <c r="AG53" s="28" t="str">
        <f ca="1">IF(Tab_CONTRATOS[[#This Row],[ENCERRADO]]="Sim","***",IF(Tab_CONTRATOS[[#This Row],[DIF DIAS]]=1," dia ",IF(Tab_CONTRATOS[[#This Row],[DIF DIAS]]&lt;&gt;0," dias ")))</f>
        <v xml:space="preserve"> dias </v>
      </c>
      <c r="AH53" s="28" t="str">
        <f ca="1">IF(Tab_CONTRATOS[[#This Row],[ENCERRADO]]="Sim","***",IF(Tab_CONTRATOS[[#This Row],[DIF DIAS]]=1,"Falta ",IF(Tab_CONTRATOS[[#This Row],[DIF DIAS]]&lt;&gt;0,"Faltam ")))</f>
        <v xml:space="preserve">Faltam </v>
      </c>
      <c r="AI53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53" s="20" t="s">
        <v>62</v>
      </c>
      <c r="AK53" s="20" t="s">
        <v>435</v>
      </c>
      <c r="AL53" s="20"/>
      <c r="AM53" s="31">
        <v>42523</v>
      </c>
      <c r="AN53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>Julho</v>
      </c>
      <c r="AO53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250940.16</v>
      </c>
      <c r="AP53" s="20" t="s">
        <v>58</v>
      </c>
      <c r="AQ53" s="28">
        <f>Tab_CONTRATOS[[#This Row],[LIMITE DE MESES]]-Tab_CONTRATOS[[#This Row],[TOTAL DE MESES]]</f>
        <v>48</v>
      </c>
      <c r="AR53" s="28"/>
      <c r="AS53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53" s="20" t="s">
        <v>436</v>
      </c>
      <c r="AU53" s="73"/>
      <c r="AV53" s="20" t="s">
        <v>437</v>
      </c>
      <c r="AW53" s="20" t="s">
        <v>207</v>
      </c>
    </row>
    <row r="54" spans="1:49" ht="50.25" customHeight="1" x14ac:dyDescent="0.25">
      <c r="A54" s="35" t="s">
        <v>438</v>
      </c>
      <c r="B54" s="20" t="s">
        <v>394</v>
      </c>
      <c r="C54" s="20" t="s">
        <v>439</v>
      </c>
      <c r="D54" s="21" t="s">
        <v>440</v>
      </c>
      <c r="E54" s="39" t="s">
        <v>441</v>
      </c>
      <c r="F54" s="18" t="s">
        <v>58</v>
      </c>
      <c r="G54" s="18" t="s">
        <v>95</v>
      </c>
      <c r="H54" s="18" t="s">
        <v>96</v>
      </c>
      <c r="I54" s="18"/>
      <c r="J54" s="18" t="s">
        <v>56</v>
      </c>
      <c r="K54" s="18" t="s">
        <v>57</v>
      </c>
      <c r="L54" s="22">
        <v>64804.81</v>
      </c>
      <c r="M54" s="23">
        <f>IF(Tab_CONTRATOS[[#This Row],[INSTRUMENTO]]="","",Tab_CONTRATOS[[#This Row],[VALOR MENSAL]]*12)</f>
        <v>777657.72</v>
      </c>
      <c r="N54" s="24">
        <v>42705</v>
      </c>
      <c r="O54" s="24">
        <v>43070</v>
      </c>
      <c r="P54" s="25" t="s">
        <v>53</v>
      </c>
      <c r="Q54" s="26">
        <f>IF(Tab_CONTRATOS[[#This Row],[INSTRUMENTO]]="","",IF(OR(Tab_CONTRATOS[[#This Row],[INICIO DA VIGÊNCIA]]="",Tab_CONTRATOS[[#This Row],[FIM DA VIGÊNICA]]=""),"erro!",TRUNC((Tab_CONTRATOS[[#This Row],[FIM DA VIGÊNICA]]-Tab_CONTRATOS[[#This Row],[INICIO DA VIGÊNCIA]])/30,0)))</f>
        <v>12</v>
      </c>
      <c r="R54" s="25">
        <v>60</v>
      </c>
      <c r="S54" s="43" t="s">
        <v>107</v>
      </c>
      <c r="T54" s="18" t="s">
        <v>60</v>
      </c>
      <c r="U54" s="20" t="s">
        <v>442</v>
      </c>
      <c r="V54" s="20"/>
      <c r="W54" s="27"/>
      <c r="X54" s="28" t="e">
        <f>INDEX('[1]Apoio 2'!B:B,MATCH(Tab_CONTRATOS[[#This Row],[ITEM]],'[1]Apoio 2'!A:A,0))</f>
        <v>#N/A</v>
      </c>
      <c r="Y54" s="28" t="e">
        <f>INDEX('[1]Apoio 2'!C:C,MATCH(Tab_CONTRATOS[[#This Row],[TEMA DE CUSTO]],'[1]Apoio 2'!B:B,0))</f>
        <v>#N/A</v>
      </c>
      <c r="Z54" s="28" t="e">
        <f>INDEX('[1]Apoio 2'!D:D,MATCH(Tab_CONTRATOS[[#This Row],[TEMA DE CUSTO]],'[1]Apoio 2'!B:B,0))</f>
        <v>#N/A</v>
      </c>
      <c r="AA54" s="29" t="str">
        <f ca="1">IF(Tab_CONTRATOS[[#This Row],[ENCERRADO]]="Não",IF(Tab_CONTRATOS[[#This Row],[DIF DIAS]]=0,"Vence Hoje",IF(Tab_CONTRATOS[[#This Row],[DIF DIAS]]&lt;0,CONCATENATE("Vencido há ",Tab_CONTRATOS[[#This Row],[ABS]],Tab_CONTRATOS[[#This Row],[TXT DIA]]),IF(Tab_CONTRATOS[[#This Row],[ABS]]&gt;0,CONCATENATE(AH54,Tab_CONTRATOS[[#This Row],[ABS]],Tab_CONTRATOS[[#This Row],[TXT DIA]]," para o vencimento")))),"Contrato Encerrado")</f>
        <v>Faltam 185 dias  para o vencimento</v>
      </c>
      <c r="AB54" s="29" t="str">
        <f ca="1">IF(Tab_CONTRATOS[[#This Row],[ENCERRADO]]="Sim","Encerrado",IF(Tab_CONTRATOS[[#This Row],[DIF DIAS]]&gt;=0,"Em Execução",IF(Tab_CONTRATOS[[#This Row],[DIF DIAS]]&lt;0,"Vencido","ERRO!")))</f>
        <v>Em Execução</v>
      </c>
      <c r="AC54" s="29" t="str">
        <f>PROPER(TEXT(Tab_CONTRATOS[[#This Row],[FIM DA VIGÊNICA]],"Mmmm"))</f>
        <v>Dezembro</v>
      </c>
      <c r="AD54" s="29">
        <f>YEAR(Tab_CONTRATOS[[#This Row],[FIM DA VIGÊNICA]])</f>
        <v>2017</v>
      </c>
      <c r="AE54" s="30">
        <f ca="1">IF(Tab_CONTRATOS[[#This Row],[ENCERRADO]]="Sim","***",Tab_CONTRATOS[[#This Row],[FIM DA VIGÊNICA]]-TODAY())</f>
        <v>185</v>
      </c>
      <c r="AF54" s="30">
        <f ca="1">IF(Tab_CONTRATOS[[#This Row],[ENCERRADO]]="Sim","***",ABS(Tab_CONTRATOS[[#This Row],[DIF DIAS]]))</f>
        <v>185</v>
      </c>
      <c r="AG54" s="28" t="str">
        <f ca="1">IF(Tab_CONTRATOS[[#This Row],[ENCERRADO]]="Sim","***",IF(Tab_CONTRATOS[[#This Row],[DIF DIAS]]=1," dia ",IF(Tab_CONTRATOS[[#This Row],[DIF DIAS]]&lt;&gt;0," dias ")))</f>
        <v xml:space="preserve"> dias </v>
      </c>
      <c r="AH54" s="28" t="str">
        <f ca="1">IF(Tab_CONTRATOS[[#This Row],[ENCERRADO]]="Sim","***",IF(Tab_CONTRATOS[[#This Row],[DIF DIAS]]=1,"Falta ",IF(Tab_CONTRATOS[[#This Row],[DIF DIAS]]&lt;&gt;0,"Faltam ")))</f>
        <v xml:space="preserve">Faltam </v>
      </c>
      <c r="AI54" s="28" t="str">
        <f ca="1">IF(Tab_CONTRATOS[[#This Row],[ENCERRADO]]="Sim","Encerrado",IF(Tab_CONTRATOS[[#This Row],[DIF DIAS]]&lt;0,"Vencido",IF(AND(Tab_CONTRATOS[[#This Row],[DIF DIAS]]&gt;=0,Tab_CONTRATOS[[#This Row],[DIF DIAS]]&lt;31),"Até 30 dias",IF(AND(Tab_CONTRATOS[[#This Row],[DIF DIAS]]&gt;=31,Tab_CONTRATOS[[#This Row],[DIF DIAS]]&lt;61),"De 31 a 60 Dias",IF(AND(Tab_CONTRATOS[[#This Row],[DIF DIAS]]&gt;=61,Tab_CONTRATOS[[#This Row],[DIF DIAS]]&lt;91),"De 61 a 90 Dias","Mais de 90 dias")))))</f>
        <v>Mais de 90 dias</v>
      </c>
      <c r="AJ54" s="45" t="s">
        <v>62</v>
      </c>
      <c r="AK54" s="20" t="s">
        <v>63</v>
      </c>
      <c r="AL54" s="20"/>
      <c r="AM54" s="31"/>
      <c r="AN54" s="32" t="str">
        <f>IF(Tab_CONTRATOS[[#This Row],[Data da Proposta]]="","",IF(Tab_CONTRATOS[[#This Row],[Data da Proposta]]="Contrato do Legado","Contrato do Legado",IF(Tab_CONTRATOS[[#This Row],[Data da Proposta]]="N/A","N/A",IF(Tab_CONTRATOS[[#This Row],[Data da Proposta]]="Falta Proposta","Falta Proposta",PROPER(TEXT(Tab_CONTRATOS[[#This Row],[Data da Proposta]]+30,"mmmm"))))))</f>
        <v/>
      </c>
      <c r="AO54" s="33">
        <f ca="1">IF(Tab_CONTRATOS[[#This Row],[ENCERRADO]]="Sim",0,IF(Tab_CONTRATOS[[#This Row],[ANO DE VENCIMENTO]]&lt;=YEAR(TODAY()),MONTH(Tab_CONTRATOS[[#This Row],[FIM DA VIGÊNICA]])*Tab_CONTRATOS[[#This Row],[VALOR MENSAL]],IF(Tab_CONTRATOS[[#This Row],[ANO DE VENCIMENTO]]&gt;YEAR(TODAY()),12*Tab_CONTRATOS[[#This Row],[VALOR MENSAL]],"")))</f>
        <v>777657.72</v>
      </c>
      <c r="AP54" s="20" t="s">
        <v>58</v>
      </c>
      <c r="AQ54" s="28">
        <f>Tab_CONTRATOS[[#This Row],[LIMITE DE MESES]]-Tab_CONTRATOS[[#This Row],[TOTAL DE MESES]]</f>
        <v>48</v>
      </c>
      <c r="AR54" s="28" t="s">
        <v>172</v>
      </c>
      <c r="AS54" s="19" t="str">
        <f>IF(Tab_CONTRATOS[[#This Row],[ENCERRADO]]="Sim","Encerrado",IF(Tab_CONTRATOS[[#This Row],[LIMITE DE MESES]]="N/A","N/A",IF(Tab_CONTRATOS[[#This Row],[Saldo Prorrogação]]=0,CONCATENATE("Não pode ser prorrogado - Limite ",Tab_CONTRATOS[[#This Row],[LIMITE DE MESES]]),IF(Tab_CONTRATOS[[#This Row],[Saldo Prorrogação]]&gt;1,CONCATENATE("Pode ser prorrogado por mais ",Tab_CONTRATOS[[#This Row],[Saldo Prorrogação]]," meses"),CONCATENATE("Pode ser prorrogado por mais ",Tab_CONTRATOS[[#This Row],[Saldo Prorrogação]]," mês")))))</f>
        <v>Pode ser prorrogado por mais 48 meses</v>
      </c>
      <c r="AT54" s="20" t="s">
        <v>443</v>
      </c>
      <c r="AU54" s="20"/>
      <c r="AV54" s="20"/>
      <c r="AW54" s="20" t="s">
        <v>207</v>
      </c>
    </row>
    <row r="61" spans="1:49" x14ac:dyDescent="0.2">
      <c r="L61" s="34"/>
    </row>
  </sheetData>
  <conditionalFormatting sqref="G2:K12 G13:AU13 M2 P2:T2 A24:AS25 B28:C28 E28:AU28 B31:AN31 AP31:AU31 V2:AI12 M3:T12 AK2:AU12 AU24:AU27 A23:AU23 B26:AS27 B29:AU30 A45:AU45 B32:AU44 B48:AU49 B14:AU22 A47:AU47 B46:AU46">
    <cfRule type="expression" dxfId="5" priority="6">
      <formula>IF($P2="Sim",1,0)</formula>
    </cfRule>
  </conditionalFormatting>
  <conditionalFormatting sqref="AT24">
    <cfRule type="expression" dxfId="4" priority="5">
      <formula>IF($P24="Sim",1,0)</formula>
    </cfRule>
  </conditionalFormatting>
  <conditionalFormatting sqref="AT25">
    <cfRule type="expression" dxfId="3" priority="4">
      <formula>IF($P25="Sim",1,0)</formula>
    </cfRule>
  </conditionalFormatting>
  <conditionalFormatting sqref="AT26">
    <cfRule type="expression" dxfId="2" priority="3">
      <formula>IF($P26="Sim",1,0)</formula>
    </cfRule>
  </conditionalFormatting>
  <conditionalFormatting sqref="AT27">
    <cfRule type="expression" dxfId="1" priority="2">
      <formula>IF($P27="Sim",1,0)</formula>
    </cfRule>
  </conditionalFormatting>
  <conditionalFormatting sqref="AO31">
    <cfRule type="expression" dxfId="0" priority="1">
      <formula>IF($P31="Sim",1,0)</formula>
    </cfRule>
  </conditionalFormatting>
  <printOptions horizontalCentered="1"/>
  <pageMargins left="0.15748031496062992" right="0.15748031496062992" top="0.82677165354330717" bottom="0.39370078740157483" header="0.19685039370078741" footer="0.19685039370078741"/>
  <pageSetup paperSize="9" scale="59" orientation="landscape" r:id="rId1"/>
  <headerFooter>
    <oddHeader>&amp;C&amp;G</oddHeader>
    <oddFooter>&amp;LEmissão: &amp;D - &amp;T&amp;RPágina: &amp;P/&amp;N</oddFooter>
  </headerFooter>
  <legacy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OFFSET('[1]Apoio 1'!#REF!,0,0,COUNTA('[1]Apoio 1'!#REF!) -1,1)</xm:f>
          </x14:formula1>
          <xm:sqref>G2:G54</xm:sqref>
        </x14:dataValidation>
        <x14:dataValidation type="list" allowBlank="1" showInputMessage="1" showErrorMessage="1">
          <x14:formula1>
            <xm:f>OFFSET('[1]Apoio 1'!#REF!,0,0,COUNTA('[1]Apoio 1'!#REF!) -1,1)</xm:f>
          </x14:formula1>
          <xm:sqref>P2:P54</xm:sqref>
        </x14:dataValidation>
        <x14:dataValidation type="list" allowBlank="1" showInputMessage="1" showErrorMessage="1">
          <x14:formula1>
            <xm:f>OFFSET('[1]Apoio 1'!#REF!,0,0,COUNTA('[1]Apoio 1'!#REF!) -1,1)</xm:f>
          </x14:formula1>
          <xm:sqref>T2:T54</xm:sqref>
        </x14:dataValidation>
        <x14:dataValidation type="list" allowBlank="1" showInputMessage="1" showErrorMessage="1">
          <x14:formula1>
            <xm:f>OFFSET('[1]Apoio 2'!#REF!,0,0,COUNTA('[1]Apoio 2'!#REF!) -1,1)</xm:f>
          </x14:formula1>
          <xm:sqref>W2:W54</xm:sqref>
        </x14:dataValidation>
        <x14:dataValidation type="list" allowBlank="1" showInputMessage="1" showErrorMessage="1">
          <x14:formula1>
            <xm:f>'[2]Apoio 1'!#REF!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BaseContratos</vt:lpstr>
      <vt:lpstr>BaseContratos!Area_de_impressao</vt:lpstr>
      <vt:lpstr>BaseContratos!Titulos_de_impressao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Simone Santos Bruno</dc:creator>
  <cp:lastModifiedBy>Sandra Simone Santos Bruno</cp:lastModifiedBy>
  <dcterms:created xsi:type="dcterms:W3CDTF">2017-05-30T14:23:26Z</dcterms:created>
  <dcterms:modified xsi:type="dcterms:W3CDTF">2017-05-30T14:25:37Z</dcterms:modified>
</cp:coreProperties>
</file>